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764" firstSheet="0" activeTab="0"/>
  </bookViews>
  <sheets>
    <sheet name="ССР баз" sheetId="1" state="visible" r:id="rId3"/>
    <sheet name="ССР 3кв_2025" sheetId="2" state="visible" r:id="rId4"/>
    <sheet name="ОСР_02-01 баз" sheetId="3" state="visible" r:id="rId5"/>
    <sheet name="ОСР_02-01 тек" sheetId="4" state="visible" r:id="rId6"/>
    <sheet name="ОСР_09-01 баз" sheetId="5" state="visible" r:id="rId7"/>
    <sheet name="ОСР_09-01 тек" sheetId="6" state="visible" r:id="rId8"/>
    <sheet name="ОСР_09-02 баз " sheetId="7" state="visible" r:id="rId9"/>
    <sheet name="ОСР_09-02 тек" sheetId="8" state="visible" r:id="rId10"/>
  </sheets>
  <definedNames>
    <definedName function="false" hidden="false" localSheetId="2" name="_xlnm.Print_Area" vbProcedure="false">'ОСР_02-01 баз'!$A$1:$J$102</definedName>
    <definedName function="false" hidden="false" localSheetId="2" name="_xlnm.Print_Titles" vbProcedure="false">'ОСР_02-01 баз'!$23:$23</definedName>
    <definedName function="false" hidden="false" localSheetId="3" name="_xlnm.Print_Area" vbProcedure="false">'ОСР_02-01 тек'!$A$1:$J$102</definedName>
    <definedName function="false" hidden="false" localSheetId="3" name="_xlnm.Print_Titles" vbProcedure="false">'ОСР_02-01 тек'!$23:$23</definedName>
    <definedName function="false" hidden="false" localSheetId="4" name="_xlnm.Print_Area" vbProcedure="false">'ОСР_09-01 баз'!$A$1:$J$66</definedName>
    <definedName function="false" hidden="false" localSheetId="4" name="_xlnm.Print_Titles" vbProcedure="false">'ОСР_09-01 баз'!$23:$23</definedName>
    <definedName function="false" hidden="false" localSheetId="5" name="_xlnm.Print_Area" vbProcedure="false">'ОСР_09-01 тек'!$A$1:$J$66</definedName>
    <definedName function="false" hidden="false" localSheetId="5" name="_xlnm.Print_Titles" vbProcedure="false">'ОСР_09-01 тек'!$23:$23</definedName>
    <definedName function="false" hidden="false" localSheetId="6" name="_xlnm.Print_Area" vbProcedure="false">'ОСР_09-02 баз '!$A$1:$J$58</definedName>
    <definedName function="false" hidden="false" localSheetId="6" name="_xlnm.Print_Titles" vbProcedure="false">'ОСР_09-02 баз '!$23:$23</definedName>
    <definedName function="false" hidden="false" localSheetId="7" name="_xlnm.Print_Area" vbProcedure="false">'ОСР_09-02 тек'!$A$1:$J$58</definedName>
    <definedName function="false" hidden="false" localSheetId="7" name="_xlnm.Print_Titles" vbProcedure="false">'ОСР_09-02 тек'!$23:$23</definedName>
    <definedName function="false" hidden="false" localSheetId="1" name="_xlnm.Print_Area" vbProcedure="false">'ССР 3кв_2025'!$A$1:$H$199</definedName>
    <definedName function="false" hidden="false" localSheetId="1" name="_xlnm.Print_Titles" vbProcedure="false">'ССР 3кв_2025'!$23:$23</definedName>
    <definedName function="false" hidden="false" localSheetId="0" name="_xlnm.Print_Area" vbProcedure="false">'ССР баз'!$A$1:$H$190</definedName>
    <definedName function="false" hidden="false" localSheetId="0" name="_xlnm.Print_Titles" vbProcedure="false">'ССР баз'!$23:$23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<sst xmlns="http://schemas.openxmlformats.org/spreadsheetml/2006/main" count="1039" uniqueCount="271">
  <si>
    <t xml:space="preserve">Заказчик</t>
  </si>
  <si>
    <t xml:space="preserve">ГКУ "Технический центр Департамента культуры города Москвы"</t>
  </si>
  <si>
    <t xml:space="preserve">(наименование организации)</t>
  </si>
  <si>
    <t xml:space="preserve">Утвержден</t>
  </si>
  <si>
    <t xml:space="preserve">"__"______________20__ г.</t>
  </si>
  <si>
    <t xml:space="preserve">Сводный сметный расчет в сумме</t>
  </si>
  <si>
    <t xml:space="preserve">тыс. руб.</t>
  </si>
  <si>
    <t xml:space="preserve">в том числе возвратных сумм</t>
  </si>
  <si>
    <t xml:space="preserve">ссылка на документ об утверждении</t>
  </si>
  <si>
    <t xml:space="preserve">СВОДНЫЙ СМЕТНЫЙ РАСЧЕТ СТОИМОСТИ СТРОИТЕЛЬСТВА</t>
  </si>
  <si>
    <t xml:space="preserve">              </t>
  </si>
  <si>
    <t xml:space="preserve">Корректировка проектной документации на капитальный ремонт ГБУДО г. Москвы «ДШИ «СТАРТ» по адресу: г. Москва, Глазовский переулок пер. 4, стр. 8</t>
  </si>
  <si>
    <t xml:space="preserve">(наименование стройки)</t>
  </si>
  <si>
    <t xml:space="preserve">Составлен в ценах по состоянию на 1 января 2000 г. </t>
  </si>
  <si>
    <t xml:space="preserve">Номера</t>
  </si>
  <si>
    <t xml:space="preserve">Сметная стоимость, тыс.руб.</t>
  </si>
  <si>
    <t xml:space="preserve">Общая</t>
  </si>
  <si>
    <t xml:space="preserve">№</t>
  </si>
  <si>
    <t xml:space="preserve">сметных </t>
  </si>
  <si>
    <t xml:space="preserve">Наименование глав, объектов,</t>
  </si>
  <si>
    <t xml:space="preserve">строи-</t>
  </si>
  <si>
    <t xml:space="preserve">монтажных</t>
  </si>
  <si>
    <t xml:space="preserve">оборудова-</t>
  </si>
  <si>
    <t xml:space="preserve">прочих</t>
  </si>
  <si>
    <t xml:space="preserve">сметная </t>
  </si>
  <si>
    <t xml:space="preserve">п/п</t>
  </si>
  <si>
    <t xml:space="preserve">расчетов</t>
  </si>
  <si>
    <t xml:space="preserve">работ и затрат</t>
  </si>
  <si>
    <t xml:space="preserve">тельных</t>
  </si>
  <si>
    <t xml:space="preserve">работ</t>
  </si>
  <si>
    <t xml:space="preserve">ния, мебели,</t>
  </si>
  <si>
    <t xml:space="preserve">затрат</t>
  </si>
  <si>
    <t xml:space="preserve">стоимость</t>
  </si>
  <si>
    <t xml:space="preserve">и смет</t>
  </si>
  <si>
    <t xml:space="preserve">инвентаря</t>
  </si>
  <si>
    <t xml:space="preserve">Глава  1. Подготовка территории строительства.</t>
  </si>
  <si>
    <t xml:space="preserve">1</t>
  </si>
  <si>
    <t xml:space="preserve">ИТОГО ПО ГЛАВЕ 1, в том числе</t>
  </si>
  <si>
    <t xml:space="preserve">Глава  2. Основные объекты строительства.</t>
  </si>
  <si>
    <t xml:space="preserve">2</t>
  </si>
  <si>
    <t xml:space="preserve">ОС №02-01</t>
  </si>
  <si>
    <t xml:space="preserve">По утвержденной смете</t>
  </si>
  <si>
    <t xml:space="preserve">Исключенные работы</t>
  </si>
  <si>
    <t xml:space="preserve">Добавленные работы</t>
  </si>
  <si>
    <t xml:space="preserve">3</t>
  </si>
  <si>
    <t xml:space="preserve">ИТОГО ПО ГЛАВЕ 2, в том числе</t>
  </si>
  <si>
    <t xml:space="preserve">Глава 4. Объекты энергетического хозяйства</t>
  </si>
  <si>
    <t xml:space="preserve">4</t>
  </si>
  <si>
    <t xml:space="preserve">04-01-01</t>
  </si>
  <si>
    <t xml:space="preserve">Наружное электроосвещение</t>
  </si>
  <si>
    <t xml:space="preserve">ИТОГО ПО ГЛАВЕ 4, в том числе</t>
  </si>
  <si>
    <t xml:space="preserve">Глава 5. Объекты транспортного хозяйства и связи</t>
  </si>
  <si>
    <t xml:space="preserve">5</t>
  </si>
  <si>
    <t xml:space="preserve">05-01-01</t>
  </si>
  <si>
    <t xml:space="preserve">Внутриплощадочные сети связи. Добавленные работы</t>
  </si>
  <si>
    <t xml:space="preserve">ИТОГО ПО ГЛАВЕ 5, в том числе</t>
  </si>
  <si>
    <t xml:space="preserve">Глава  7. Благоустройство и озеленение территории.</t>
  </si>
  <si>
    <t xml:space="preserve">6</t>
  </si>
  <si>
    <t xml:space="preserve">07-01-01</t>
  </si>
  <si>
    <t xml:space="preserve">Благоустройство (ПЗУ)</t>
  </si>
  <si>
    <t xml:space="preserve">7</t>
  </si>
  <si>
    <t xml:space="preserve">ИТОГО ПО ГЛАВЕ 7, в том числе</t>
  </si>
  <si>
    <t xml:space="preserve">8</t>
  </si>
  <si>
    <t xml:space="preserve">Итого по главам 1 - 7, в том числе</t>
  </si>
  <si>
    <t xml:space="preserve">Исключаемые работы</t>
  </si>
  <si>
    <t xml:space="preserve">Добавляемые работы</t>
  </si>
  <si>
    <t xml:space="preserve">Глава  8. Временные здания и сооружения.</t>
  </si>
  <si>
    <t xml:space="preserve">9</t>
  </si>
  <si>
    <t xml:space="preserve">Затраты на строительство временных зданий и ссоружений </t>
  </si>
  <si>
    <t xml:space="preserve">ТСН 2001.10 табл.1, п.22.2</t>
  </si>
  <si>
    <t xml:space="preserve">По утвержденной смете 1,4%</t>
  </si>
  <si>
    <t xml:space="preserve">Исключенные работы 1,4%</t>
  </si>
  <si>
    <t xml:space="preserve">МОС.05.05-006.2022, приложение В, табл.В 3., п. 1.1.2</t>
  </si>
  <si>
    <t xml:space="preserve">Добавленные работы 1,4%</t>
  </si>
  <si>
    <t xml:space="preserve">10</t>
  </si>
  <si>
    <t xml:space="preserve">ИТОГО ПО ГЛАВЕ 8, в том числе</t>
  </si>
  <si>
    <t xml:space="preserve">11</t>
  </si>
  <si>
    <t xml:space="preserve">ИТОГО ПО ГЛАВАМ 1 - 8, в том числе</t>
  </si>
  <si>
    <t xml:space="preserve">Глава  9. Прочие работы и затраты.</t>
  </si>
  <si>
    <t xml:space="preserve">12</t>
  </si>
  <si>
    <t xml:space="preserve">Затраты, связанные с вводом объектов в эксплуатацию</t>
  </si>
  <si>
    <t xml:space="preserve">ТСН-2001.11, табл.1, п.10 </t>
  </si>
  <si>
    <t xml:space="preserve">По утвержденной смете 
Затраты заказчика по вводу объектов в эксплуатацию – 0,5% от итога глав 1-8</t>
  </si>
  <si>
    <t xml:space="preserve">Исключенные работы 
Затраты заказчика по вводу объектов в эксплуатацию – 0,5% от итога глав 1-8</t>
  </si>
  <si>
    <t xml:space="preserve">Добавленные работы 
</t>
  </si>
  <si>
    <t xml:space="preserve">13</t>
  </si>
  <si>
    <t xml:space="preserve">ОС № 09-01</t>
  </si>
  <si>
    <t xml:space="preserve">Пусконаладочные работы</t>
  </si>
  <si>
    <t xml:space="preserve">14</t>
  </si>
  <si>
    <t xml:space="preserve">ОС № 09-02</t>
  </si>
  <si>
    <t xml:space="preserve">Утилизация отходов </t>
  </si>
  <si>
    <t xml:space="preserve">15</t>
  </si>
  <si>
    <t xml:space="preserve">РП Москвы
от 24 марта 2022 г. N 189-РП</t>
  </si>
  <si>
    <t xml:space="preserve">Затраты на услуги банка по предоставлению банковской гарантии для обеспечения исполнения государственного контракта (контракта), договора в размере 0,9% от стоимости строительно-монтажных работ (графы 4 и 5) по итогу глав 1 - 8 </t>
  </si>
  <si>
    <t xml:space="preserve">ТСН-2001.11, табл.1, п.17</t>
  </si>
  <si>
    <t xml:space="preserve">16</t>
  </si>
  <si>
    <t xml:space="preserve">ИТОГО ПО ГЛАВЕ 9, в том числе</t>
  </si>
  <si>
    <t xml:space="preserve">17</t>
  </si>
  <si>
    <t xml:space="preserve">ИТОГО ПО ГЛАВАМ 1 - 9, в том числе</t>
  </si>
  <si>
    <t xml:space="preserve">Глава 10. Содержание службы заказчика. Строительный контроль.</t>
  </si>
  <si>
    <t xml:space="preserve">18</t>
  </si>
  <si>
    <t xml:space="preserve">Приказ Москомэкспертизы № 80 от 29.08.2014, п. 3, п 4 в ред. приказа от  25.07.2024 № МКЭ-ОД/24-84</t>
  </si>
  <si>
    <t xml:space="preserve">Содержание службы заказчика 1,25% от итога по главам 1-9, К=1,1</t>
  </si>
  <si>
    <t xml:space="preserve">19</t>
  </si>
  <si>
    <t xml:space="preserve">Приказ Москомэкспертизы № 80 от 29.08.2014, прил. табл. 2</t>
  </si>
  <si>
    <t xml:space="preserve">Осуществление строительного контроля -2,14% от итога по главам 1-9</t>
  </si>
  <si>
    <t xml:space="preserve">20</t>
  </si>
  <si>
    <t xml:space="preserve">ИТОГО ПО ГЛАВЕ 10, в том числе</t>
  </si>
  <si>
    <t xml:space="preserve">21</t>
  </si>
  <si>
    <t xml:space="preserve">ИТОГО ПО ГЛАВАМ 1 - 10, в том числе</t>
  </si>
  <si>
    <t xml:space="preserve"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 </t>
  </si>
  <si>
    <t xml:space="preserve">22</t>
  </si>
  <si>
    <t xml:space="preserve">Затраты на проектые работы</t>
  </si>
  <si>
    <t xml:space="preserve">Сметы ПИР, ранее рассмотренные по положительному заключению</t>
  </si>
  <si>
    <t xml:space="preserve">По утвержденной смете К=3,699</t>
  </si>
  <si>
    <t xml:space="preserve">Исключенные работы К=3,699</t>
  </si>
  <si>
    <t xml:space="preserve">Добавленные работы К=5,556</t>
  </si>
  <si>
    <t xml:space="preserve">В т.ч.</t>
  </si>
  <si>
    <t xml:space="preserve">Смета  № 4</t>
  </si>
  <si>
    <t xml:space="preserve">Проектная и рабочая документация</t>
  </si>
  <si>
    <t xml:space="preserve">Смета  № 5</t>
  </si>
  <si>
    <t xml:space="preserve">Разработка СТУ</t>
  </si>
  <si>
    <t xml:space="preserve">Смета  № 6</t>
  </si>
  <si>
    <t xml:space="preserve">Дендроплан</t>
  </si>
  <si>
    <t xml:space="preserve">Договор № 78-10-5152 от 22.08.2023г.</t>
  </si>
  <si>
    <t xml:space="preserve">Раздел обеспечения сохранности выявленных объектов
архитектурного наследия </t>
  </si>
  <si>
    <t xml:space="preserve">Договор № 78-10-5151 от 22.08.2023г.</t>
  </si>
  <si>
    <t xml:space="preserve">Раздел обеспечения сохранности объектов культурного наследия</t>
  </si>
  <si>
    <t xml:space="preserve">23</t>
  </si>
  <si>
    <t xml:space="preserve">Затраты на изыскательские работы</t>
  </si>
  <si>
    <t xml:space="preserve">Смета  № 1</t>
  </si>
  <si>
    <t xml:space="preserve">Инженерно-геодезические изыскания</t>
  </si>
  <si>
    <t xml:space="preserve">Смета  № 2</t>
  </si>
  <si>
    <t xml:space="preserve">Откопка шурфов</t>
  </si>
  <si>
    <t xml:space="preserve">Смета  № 3</t>
  </si>
  <si>
    <t xml:space="preserve">Техническое обследование и обмерные работы</t>
  </si>
  <si>
    <t xml:space="preserve">24</t>
  </si>
  <si>
    <t xml:space="preserve">Средства на оплату проведения экспертизы проектно-сметной документации </t>
  </si>
  <si>
    <t xml:space="preserve">ССРСС 2018 г.</t>
  </si>
  <si>
    <t xml:space="preserve">Пост.  Прав. РФ №145 от 05. 03.2007 г.</t>
  </si>
  <si>
    <t xml:space="preserve">Добавленные работы (1927,67*0,1188=229,01)</t>
  </si>
  <si>
    <t xml:space="preserve">25</t>
  </si>
  <si>
    <t xml:space="preserve">Средства на оплату проведения авторского надзора </t>
  </si>
  <si>
    <t xml:space="preserve">ССРСС 2018 г., Сметы на ПИР 2018 г.
МРР-10.1-17, п.2.2</t>
  </si>
  <si>
    <t xml:space="preserve">По утвержденной смете (2,65% от проектных работ (без изысканий) - 983,81*0,0265)</t>
  </si>
  <si>
    <t xml:space="preserve">Сметы на ПИР 2024 г.
МРР-10.1-17, п. 2.2</t>
  </si>
  <si>
    <t xml:space="preserve">Добавленные работы (2,65% от проектных работ (без изысканий) - 1927,67*0,0265)</t>
  </si>
  <si>
    <t xml:space="preserve">26</t>
  </si>
  <si>
    <t xml:space="preserve">Согласование проектной документации </t>
  </si>
  <si>
    <t xml:space="preserve">ТСН-2001.12 прил.5, п.12.5, 
ССРСС 2018 г.</t>
  </si>
  <si>
    <t xml:space="preserve">По утвержденной смете 0,15% от итога по гл. 1-9</t>
  </si>
  <si>
    <t xml:space="preserve">27</t>
  </si>
  <si>
    <t xml:space="preserve">ИТОГО ПО ГЛАВЕ 12, в том числе</t>
  </si>
  <si>
    <t xml:space="preserve">28</t>
  </si>
  <si>
    <t xml:space="preserve">ИТОГО ПО ГЛАВАМ 1-12</t>
  </si>
  <si>
    <t xml:space="preserve">29</t>
  </si>
  <si>
    <t xml:space="preserve">Приказ Минстроя России № 421/пр от 04.08.2020</t>
  </si>
  <si>
    <t xml:space="preserve">Средства на возмещение расходов по оплате непредвиденных работ и затрат 2%</t>
  </si>
  <si>
    <t xml:space="preserve">30</t>
  </si>
  <si>
    <t xml:space="preserve">Всего по сводному сметному расчету  в базисных ценах по состоянию на 01.01.2000 г.</t>
  </si>
  <si>
    <t xml:space="preserve">31</t>
  </si>
  <si>
    <t xml:space="preserve">в том числе: Затраты на проектные и изыскательские работы без непредвиденных затрат</t>
  </si>
  <si>
    <t xml:space="preserve">32</t>
  </si>
  <si>
    <t xml:space="preserve">в том числе: Возвратные суммы без непредвиденных затрат и НДС</t>
  </si>
  <si>
    <t xml:space="preserve">09-03-01</t>
  </si>
  <si>
    <t xml:space="preserve">Возврат лома (справочно). Добавленные работы</t>
  </si>
  <si>
    <t xml:space="preserve">Руководитель проектной организации </t>
  </si>
  <si>
    <t xml:space="preserve">С.В. Виноградов</t>
  </si>
  <si>
    <t xml:space="preserve">[подпись (инициалы, фамилия)]</t>
  </si>
  <si>
    <t xml:space="preserve">в том числе: Затраты на проектные и изыскательские работы без непредвиденных затрат и НДС</t>
  </si>
  <si>
    <t xml:space="preserve">Главный инженер проекта</t>
  </si>
  <si>
    <t xml:space="preserve">С.Е. Михеев </t>
  </si>
  <si>
    <t xml:space="preserve">Главный инженер</t>
  </si>
  <si>
    <t xml:space="preserve">О.В. Новичков</t>
  </si>
  <si>
    <t xml:space="preserve">П.А. Быков </t>
  </si>
  <si>
    <t xml:space="preserve">Составлен в ценах по состоянию на март 2018 г./III квартал 2025 года</t>
  </si>
  <si>
    <t xml:space="preserve">Ранее подтверждённые проектные работы сохраняются</t>
  </si>
  <si>
    <t xml:space="preserve">Добавленные работы </t>
  </si>
  <si>
    <t xml:space="preserve">Ранее подтверждённые изыскательские работы сохраняются</t>
  </si>
  <si>
    <t xml:space="preserve">Пост.  Прав. РФ №145 от 05. 03.2007 г.
Инд.потр. цен Росстата</t>
  </si>
  <si>
    <t xml:space="preserve">По утвержденной смете (2,65% от проектных работ (без изысканий) - 3639,12*0,0265)</t>
  </si>
  <si>
    <t xml:space="preserve">Исключение авторского надзора по исключённым проектным работам</t>
  </si>
  <si>
    <t xml:space="preserve">Добавленные работы (2,65% от проектных работ (без изысканий) </t>
  </si>
  <si>
    <t xml:space="preserve">ТСН-2001.12 прил.5, п.12.5, 
</t>
  </si>
  <si>
    <t xml:space="preserve">ТСН-2001.12 прил.5, п.12.5</t>
  </si>
  <si>
    <t xml:space="preserve">Всего по сводному сметному расчету  в  смешанном уровне цен</t>
  </si>
  <si>
    <t xml:space="preserve">Налоги и обязательные платежи (НДС)</t>
  </si>
  <si>
    <t xml:space="preserve">По утвержденной смете (18%)</t>
  </si>
  <si>
    <t xml:space="preserve">Исключенные работы (18%)</t>
  </si>
  <si>
    <t xml:space="preserve">Добавленные работы (22%)</t>
  </si>
  <si>
    <t xml:space="preserve">Всего по сводному сметному расчету в смешанном уровне цен  с НДС</t>
  </si>
  <si>
    <t xml:space="preserve">33</t>
  </si>
  <si>
    <t xml:space="preserve">34</t>
  </si>
  <si>
    <t xml:space="preserve">Справочно: дельта между искл. И доб.:</t>
  </si>
  <si>
    <t xml:space="preserve">ДЕЛЬТА</t>
  </si>
  <si>
    <t xml:space="preserve">дельта смр</t>
  </si>
  <si>
    <t xml:space="preserve">Форма 3</t>
  </si>
  <si>
    <t xml:space="preserve">(Наименование стройки)</t>
  </si>
  <si>
    <t xml:space="preserve">ОБЪЕКТНАЯ СМЕТА №</t>
  </si>
  <si>
    <t xml:space="preserve">ОС № 02-01</t>
  </si>
  <si>
    <t xml:space="preserve">(объектная смета)</t>
  </si>
  <si>
    <t xml:space="preserve">на строительство (капитальный ремонт)</t>
  </si>
  <si>
    <t xml:space="preserve">  тыс.руб.</t>
  </si>
  <si>
    <t xml:space="preserve">Средства на оплату труда  </t>
  </si>
  <si>
    <t xml:space="preserve">Расчетный измеритель единичной стоимости  </t>
  </si>
  <si>
    <t xml:space="preserve">тыс. руб./кв.м</t>
  </si>
  <si>
    <t xml:space="preserve">Составлен(а) в ценах по состоянию на 01.01.2000 г.</t>
  </si>
  <si>
    <t xml:space="preserve">№ п/п</t>
  </si>
  <si>
    <t xml:space="preserve">Номера сметных расчетов (смет)</t>
  </si>
  <si>
    <t xml:space="preserve">Наименование работ и затрат</t>
  </si>
  <si>
    <t xml:space="preserve">Средства на оплату труда, тыс. руб.</t>
  </si>
  <si>
    <t xml:space="preserve">Показатели единичной стоимости,   тыс. руб./кв.м</t>
  </si>
  <si>
    <t xml:space="preserve">строите-льных работ</t>
  </si>
  <si>
    <t xml:space="preserve">монтажных работ</t>
  </si>
  <si>
    <t xml:space="preserve">оборудо-вания, мебели, инвентаря</t>
  </si>
  <si>
    <t xml:space="preserve">прочих затрат</t>
  </si>
  <si>
    <t xml:space="preserve">Всего</t>
  </si>
  <si>
    <t xml:space="preserve">Строительные работы</t>
  </si>
  <si>
    <t xml:space="preserve">02-01-01</t>
  </si>
  <si>
    <t xml:space="preserve">Электрооборудование и электроосвещение</t>
  </si>
  <si>
    <t xml:space="preserve">02-01-02</t>
  </si>
  <si>
    <t xml:space="preserve">Отопление, вентиляция</t>
  </si>
  <si>
    <t xml:space="preserve">02-01-03</t>
  </si>
  <si>
    <t xml:space="preserve">Водопровод и канализация</t>
  </si>
  <si>
    <t xml:space="preserve">02-01-04</t>
  </si>
  <si>
    <t xml:space="preserve">Автоматизация вентиляции</t>
  </si>
  <si>
    <t xml:space="preserve">02-01-05</t>
  </si>
  <si>
    <t xml:space="preserve">Технологическое оборудование</t>
  </si>
  <si>
    <t xml:space="preserve">02-01-06</t>
  </si>
  <si>
    <t xml:space="preserve">Система контроля и управления доступом</t>
  </si>
  <si>
    <t xml:space="preserve">02-01-07</t>
  </si>
  <si>
    <t xml:space="preserve">Система охранно-пожарной сигнализации и оповещения</t>
  </si>
  <si>
    <t xml:space="preserve">02-01-08</t>
  </si>
  <si>
    <t xml:space="preserve">Видеонаблюдение</t>
  </si>
  <si>
    <t xml:space="preserve">02-01-09</t>
  </si>
  <si>
    <t xml:space="preserve">02-01-10</t>
  </si>
  <si>
    <t xml:space="preserve">Сети связи</t>
  </si>
  <si>
    <t xml:space="preserve">Охранно-защитная дератизационная система</t>
  </si>
  <si>
    <t xml:space="preserve">02-01-11</t>
  </si>
  <si>
    <t xml:space="preserve">Оборудование для ММГН</t>
  </si>
  <si>
    <t xml:space="preserve">02-01-12</t>
  </si>
  <si>
    <t xml:space="preserve">Мероприятия по антитеррору</t>
  </si>
  <si>
    <t xml:space="preserve">02-01-16</t>
  </si>
  <si>
    <t xml:space="preserve">Лифтовое хозяйство</t>
  </si>
  <si>
    <t xml:space="preserve">02-01-17</t>
  </si>
  <si>
    <t xml:space="preserve">ИТОГО: </t>
  </si>
  <si>
    <t xml:space="preserve">Составил</t>
  </si>
  <si>
    <t xml:space="preserve">И.А. Козлов</t>
  </si>
  <si>
    <t xml:space="preserve">Проверил</t>
  </si>
  <si>
    <t xml:space="preserve">Д.А. Ададимов</t>
  </si>
  <si>
    <t xml:space="preserve">Составлен(а) в смешанном уровне цен по состоянию на март 2018 г. и III квартал 2025 года</t>
  </si>
  <si>
    <t xml:space="preserve">Корректировка проектной документации на капитальный ремонт ГБУДО г. Москвы «ДШИ «СТАРТ» по адресу: г. Москва, Глазовский переулок пер. 4, стр. 8. Пусконаладочные работы</t>
  </si>
  <si>
    <t xml:space="preserve">м2</t>
  </si>
  <si>
    <t xml:space="preserve"> ПНР. ЭЛЕКТРОСНАБЖЕНИЕ</t>
  </si>
  <si>
    <t xml:space="preserve">09-01-01</t>
  </si>
  <si>
    <t xml:space="preserve">ПНР. Вентиляция</t>
  </si>
  <si>
    <t xml:space="preserve">09-01-02</t>
  </si>
  <si>
    <t xml:space="preserve">ПНР. Лифтовое хозяйство</t>
  </si>
  <si>
    <t xml:space="preserve">09-01-03</t>
  </si>
  <si>
    <t xml:space="preserve">ПНР. Сети связи</t>
  </si>
  <si>
    <t xml:space="preserve">09-01-04</t>
  </si>
  <si>
    <t xml:space="preserve">ПНР. Наружное освещение</t>
  </si>
  <si>
    <t xml:space="preserve">09-01-05</t>
  </si>
  <si>
    <t xml:space="preserve"> ПНР. Электроснабжение</t>
  </si>
  <si>
    <t xml:space="preserve">Корректировка проектной документации на капитальный ремонт ГБУДО г. Москвы «ДШИ «СТАРТ» по адресу: г. Москва, Глазовский переулок пер. 4, стр. 8. Утилизация отходов</t>
  </si>
  <si>
    <t xml:space="preserve"> Утилизация отходов КР</t>
  </si>
  <si>
    <t xml:space="preserve">09-02-01</t>
  </si>
  <si>
    <t xml:space="preserve">Утилизация отходов АР</t>
  </si>
  <si>
    <t xml:space="preserve">09-02-02</t>
  </si>
  <si>
    <t xml:space="preserve">Утилизация отходов ПЗУ</t>
  </si>
  <si>
    <t xml:space="preserve">09-02-03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</si>
</sst>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0.00"/>
    <numFmt numFmtId="167" formatCode="_-* #,##0.00_р_._-;\-* #,##0.00_р_._-;_-* \-??_р_._-;_-@_-"/>
    <numFmt numFmtId="168" formatCode="d\ mmmm\ yyyy&quot; г.&quot;"/>
    <numFmt numFmtId="169" formatCode="#,##0.00"/>
    <numFmt numFmtId="170" formatCode="#,##0.00;[RED]&quot;- &quot;#,##0.00"/>
    <numFmt numFmtId="171" formatCode="0"/>
    <numFmt numFmtId="172" formatCode="#,##0.00_ ;[RED]\-#,##0.00\ "/>
  </numFmts>
  <fonts count="51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0"/>
      <name val="Verdana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b val="true"/>
      <sz val="18"/>
      <name val="Times New Roman CYR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2"/>
      <name val="Arial Cyr"/>
      <family val="0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1"/>
      <name val="Times New Roman"/>
      <family val="1"/>
      <charset val="204"/>
    </font>
    <font>
      <i val="true"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 val="true"/>
      <sz val="11"/>
      <color rgb="FFFF0000"/>
      <name val="Times New Roman"/>
      <family val="1"/>
      <charset val="204"/>
    </font>
    <font>
      <sz val="10"/>
      <color rgb="FFFF0000"/>
      <name val="Arial Cyr"/>
      <family val="0"/>
      <charset val="204"/>
    </font>
    <font>
      <sz val="10"/>
      <color theme="1"/>
      <name val="Arial"/>
      <family val="2"/>
      <charset val="204"/>
    </font>
    <font>
      <b val="true"/>
      <sz val="11"/>
      <name val="Arial"/>
      <family val="2"/>
      <charset val="204"/>
    </font>
    <font>
      <sz val="11"/>
      <name val="Arial"/>
      <family val="2"/>
      <charset val="204"/>
    </font>
    <font>
      <sz val="10"/>
      <color rgb="FF000000"/>
      <name val="Arial"/>
      <family val="2"/>
      <charset val="204"/>
    </font>
    <font>
      <sz val="14"/>
      <name val="Arial Cyr"/>
      <family val="0"/>
      <charset val="204"/>
    </font>
    <font>
      <sz val="11"/>
      <color rgb="FF800000"/>
      <name val="Arial"/>
      <family val="2"/>
      <charset val="204"/>
    </font>
    <font>
      <i val="true"/>
      <sz val="11"/>
      <name val="Arial"/>
      <family val="2"/>
      <charset val="204"/>
    </font>
    <font>
      <b val="true"/>
      <sz val="10"/>
      <name val="Arial Cyr"/>
      <family val="0"/>
      <charset val="204"/>
    </font>
    <font>
      <sz val="9"/>
      <name val="Arial"/>
      <family val="2"/>
      <charset val="204"/>
    </font>
    <font>
      <b val="true"/>
      <sz val="9"/>
      <name val="Times New Roman"/>
      <family val="1"/>
      <charset val="204"/>
    </font>
    <font>
      <b val="true"/>
      <sz val="14"/>
      <name val="Arial"/>
      <family val="2"/>
      <charset val="204"/>
    </font>
    <font>
      <sz val="14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 val="true"/>
      <sz val="11"/>
      <color theme="1"/>
      <name val="Arial"/>
      <family val="2"/>
      <charset val="204"/>
    </font>
    <font>
      <b val="true"/>
      <u val="single"/>
      <sz val="10"/>
      <name val="Arial Cyr"/>
      <family val="0"/>
      <charset val="204"/>
    </font>
    <font>
      <b val="true"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 val="true"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b val="true"/>
      <sz val="8"/>
      <name val="Arial"/>
      <family val="2"/>
      <charset val="204"/>
    </font>
    <font>
      <sz val="8"/>
      <name val="Arial"/>
      <family val="2"/>
      <charset val="204"/>
    </font>
    <font>
      <b val="true"/>
      <sz val="11"/>
      <color rgb="FFFF0000"/>
      <name val="Arial"/>
      <family val="2"/>
      <charset val="204"/>
    </font>
    <font>
      <b val="true"/>
      <sz val="10"/>
      <color theme="1"/>
      <name val="Arial Cyr"/>
      <family val="0"/>
      <charset val="204"/>
    </font>
    <font>
      <b val="true"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</borders>
  <cellStyleXfs count="7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0" fillId="0" borderId="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12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2" fillId="0" borderId="2" xfId="29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2" fillId="0" borderId="0" xfId="29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12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12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9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9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3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9" fillId="0" borderId="7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70" fontId="24" fillId="0" borderId="0" xfId="66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24" fillId="0" borderId="0" xfId="6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1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5" fillId="0" borderId="0" xfId="66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25" fillId="0" borderId="0" xfId="6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6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9" fontId="2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0" xfId="74" applyFont="true" applyBorder="false" applyAlignment="true" applyProtection="false">
      <alignment horizontal="center" vertical="bottom" textRotation="0" wrapText="true" indent="0" shrinkToFit="true"/>
      <protection locked="true" hidden="false"/>
    </xf>
    <xf numFmtId="164" fontId="25" fillId="0" borderId="0" xfId="74" applyFont="true" applyBorder="false" applyAlignment="true" applyProtection="false">
      <alignment horizontal="left" vertical="bottom" textRotation="0" wrapText="true" indent="0" shrinkToFit="true"/>
      <protection locked="true" hidden="false"/>
    </xf>
    <xf numFmtId="166" fontId="29" fillId="0" borderId="0" xfId="29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29" fillId="0" borderId="0" xfId="29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1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17" fillId="0" borderId="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1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33" fillId="0" borderId="0" xfId="71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24" fillId="0" borderId="0" xfId="71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1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34" fillId="0" borderId="0" xfId="71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25" fillId="0" borderId="0" xfId="71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0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1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6" fillId="0" borderId="0" xfId="73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4" fillId="0" borderId="0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37" fillId="0" borderId="0" xfId="73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70" fontId="17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70" fontId="20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70" fontId="3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25" fillId="0" borderId="0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1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2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21" fillId="0" borderId="1" xfId="5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69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24" fillId="0" borderId="0" xfId="69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4" fillId="0" borderId="0" xfId="69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21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25" fillId="0" borderId="0" xfId="69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25" fillId="0" borderId="0" xfId="69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69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25" fillId="0" borderId="0" xfId="7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7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6" fontId="4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70" fontId="4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68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0" xfId="69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37" fillId="0" borderId="0" xfId="72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5" fillId="0" borderId="0" xfId="5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9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25" fillId="0" borderId="0" xfId="64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36" fillId="0" borderId="0" xfId="62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6" fillId="0" borderId="0" xfId="62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37" fillId="0" borderId="0" xfId="62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7" fillId="0" borderId="0" xfId="62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70" fontId="24" fillId="0" borderId="0" xfId="65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25" fillId="0" borderId="0" xfId="65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4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2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70" fontId="18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1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21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4" fillId="0" borderId="0" xfId="5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9" fillId="0" borderId="1" xfId="29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9" fontId="19" fillId="0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9" fontId="19" fillId="0" borderId="8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9" fontId="19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70" fontId="21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7" fillId="0" borderId="0" xfId="73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36" fillId="0" borderId="0" xfId="72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73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7" fillId="0" borderId="0" xfId="73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47" fillId="0" borderId="0" xfId="73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7" fillId="0" borderId="0" xfId="73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9" fontId="47" fillId="0" borderId="0" xfId="72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7" fillId="0" borderId="0" xfId="72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3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21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9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9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3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3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6" fontId="47" fillId="0" borderId="0" xfId="72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7" fillId="0" borderId="0" xfId="72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7" fillId="0" borderId="0" xfId="72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70" fontId="24" fillId="0" borderId="0" xfId="64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3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33" fillId="0" borderId="0" xfId="66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34" fillId="0" borderId="0" xfId="66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50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0" xfId="5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3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3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21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21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9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9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21" fillId="0" borderId="1" xfId="5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9" fontId="21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21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20" fillId="0" borderId="7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6" fontId="21" fillId="0" borderId="0" xfId="5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Акт" xfId="20"/>
    <cellStyle name="АктМТСН" xfId="21"/>
    <cellStyle name="ВОР" xfId="22"/>
    <cellStyle name="ВедРесурсов" xfId="23"/>
    <cellStyle name="ВедРесурсовАкт" xfId="24"/>
    <cellStyle name="Дефектовка" xfId="25"/>
    <cellStyle name="Индексы" xfId="26"/>
    <cellStyle name="Итоги" xfId="27"/>
    <cellStyle name="Итоги 2" xfId="28"/>
    <cellStyle name="ИтогоАктБИМ" xfId="29"/>
    <cellStyle name="ИтогоАктБазЦ" xfId="30"/>
    <cellStyle name="ИтогоАктРесМет" xfId="31"/>
    <cellStyle name="ИтогоАктТекЦ" xfId="32"/>
    <cellStyle name="ИтогоБИМ" xfId="33"/>
    <cellStyle name="ИтогоБИМ 2" xfId="34"/>
    <cellStyle name="ИтогоБИМ 2 2" xfId="35"/>
    <cellStyle name="ИтогоБазЦ" xfId="36"/>
    <cellStyle name="ИтогоРесМет" xfId="37"/>
    <cellStyle name="ИтогоТекЦ" xfId="38"/>
    <cellStyle name="ЛокСмМТСН" xfId="39"/>
    <cellStyle name="ЛокСмМТСН 2" xfId="40"/>
    <cellStyle name="ЛокСмета" xfId="41"/>
    <cellStyle name="М29" xfId="42"/>
    <cellStyle name="М29 2" xfId="43"/>
    <cellStyle name="ОбСмета" xfId="44"/>
    <cellStyle name="ОбСмета 2" xfId="45"/>
    <cellStyle name="ОбСмета 3" xfId="46"/>
    <cellStyle name="Обычный 10" xfId="47"/>
    <cellStyle name="Обычный 11" xfId="48"/>
    <cellStyle name="Обычный 12" xfId="49"/>
    <cellStyle name="Обычный 13" xfId="50"/>
    <cellStyle name="Обычный 14" xfId="51"/>
    <cellStyle name="Обычный 2" xfId="52"/>
    <cellStyle name="Обычный 3" xfId="53"/>
    <cellStyle name="Обычный 4" xfId="54"/>
    <cellStyle name="Обычный 5" xfId="55"/>
    <cellStyle name="Обычный 6" xfId="56"/>
    <cellStyle name="Обычный 7" xfId="57"/>
    <cellStyle name="Обычный 8" xfId="58"/>
    <cellStyle name="Обычный 9" xfId="59"/>
    <cellStyle name="Обычный_Лист1" xfId="60"/>
    <cellStyle name="ПИР" xfId="61"/>
    <cellStyle name="Параметр" xfId="62"/>
    <cellStyle name="ПеременныеСметы" xfId="63"/>
    <cellStyle name="РесСмета" xfId="64"/>
    <cellStyle name="СводВедРес" xfId="65"/>
    <cellStyle name="СводРасч" xfId="66"/>
    <cellStyle name="СводРасч 2" xfId="67"/>
    <cellStyle name="СводкаСтоимРаб" xfId="68"/>
    <cellStyle name="Список ресурсов" xfId="69"/>
    <cellStyle name="Титул" xfId="70"/>
    <cellStyle name="Титул 2" xfId="71"/>
    <cellStyle name="Финансовый 2" xfId="72"/>
    <cellStyle name="Хвост" xfId="73"/>
    <cellStyle name="Ценник" xfId="74"/>
    <cellStyle name="Экспертиза" xfId="7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90"/>
  <sheetViews>
    <sheetView showFormulas="false" showGridLines="false" showRowColHeaders="true" showZeros="true" rightToLeft="false" tabSelected="true" showOutlineSymbols="true" defaultGridColor="true" view="pageBreakPreview" topLeftCell="A154" colorId="64" zoomScale="100" zoomScaleNormal="85" zoomScalePageLayoutView="100" workbookViewId="0">
      <selection pane="topLeft" activeCell="L167" activeCellId="0" sqref="L167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1" width="17.71"/>
    <col collapsed="false" customWidth="true" hidden="false" outlineLevel="0" max="3" min="3" style="1" width="74.16"/>
    <col collapsed="false" customWidth="true" hidden="false" outlineLevel="0" max="4" min="4" style="1" width="14.42"/>
    <col collapsed="false" customWidth="true" hidden="false" outlineLevel="0" max="6" min="5" style="1" width="14.57"/>
    <col collapsed="false" customWidth="true" hidden="false" outlineLevel="0" max="7" min="7" style="1" width="18.14"/>
    <col collapsed="false" customWidth="true" hidden="false" outlineLevel="0" max="8" min="8" style="1" width="14.57"/>
    <col collapsed="false" customWidth="true" hidden="false" outlineLevel="0" max="9" min="9" style="1" width="17.86"/>
    <col collapsed="false" customWidth="false" hidden="false" outlineLevel="0" max="11" min="10" style="1" width="9.14"/>
    <col collapsed="false" customWidth="true" hidden="false" outlineLevel="0" max="12" min="12" style="1" width="26.86"/>
    <col collapsed="false" customWidth="false" hidden="false" outlineLevel="0" max="16384" min="13" style="1" width="9.14"/>
  </cols>
  <sheetData>
    <row r="1" s="4" customFormat="true" ht="15" hidden="false" customHeight="true" outlineLevel="0" collapsed="false">
      <c r="A1" s="2"/>
      <c r="B1" s="2" t="s">
        <v>0</v>
      </c>
      <c r="C1" s="3" t="s">
        <v>1</v>
      </c>
      <c r="D1" s="3"/>
      <c r="E1" s="3"/>
      <c r="F1" s="3"/>
      <c r="G1" s="3"/>
      <c r="H1" s="3"/>
    </row>
    <row r="2" customFormat="false" ht="22.5" hidden="false" customHeight="true" outlineLevel="0" collapsed="false">
      <c r="A2" s="2"/>
      <c r="B2" s="2"/>
      <c r="C2" s="2"/>
      <c r="D2" s="5" t="s">
        <v>2</v>
      </c>
      <c r="E2" s="2"/>
      <c r="F2" s="2"/>
      <c r="G2" s="2"/>
      <c r="H2" s="2"/>
    </row>
    <row r="3" customFormat="false" ht="15" hidden="false" customHeight="true" outlineLevel="0" collapsed="false">
      <c r="A3" s="2"/>
      <c r="B3" s="2" t="s">
        <v>3</v>
      </c>
      <c r="C3" s="2" t="s">
        <v>4</v>
      </c>
      <c r="D3" s="2"/>
      <c r="E3" s="2"/>
      <c r="F3" s="2"/>
      <c r="G3" s="2"/>
      <c r="H3" s="2"/>
    </row>
    <row r="4" customFormat="false" ht="15" hidden="false" customHeight="tru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15" hidden="false" customHeight="true" outlineLevel="0" collapsed="false">
      <c r="A5" s="2"/>
      <c r="B5" s="2" t="s">
        <v>5</v>
      </c>
      <c r="C5" s="2"/>
      <c r="D5" s="6" t="n">
        <f aca="false">H164</f>
        <v>12460.3923163736</v>
      </c>
      <c r="E5" s="6"/>
      <c r="F5" s="6"/>
      <c r="G5" s="2" t="s">
        <v>6</v>
      </c>
      <c r="H5" s="2"/>
    </row>
    <row r="6" customFormat="false" ht="15" hidden="false" customHeight="true" outlineLevel="0" collapsed="false">
      <c r="A6" s="2"/>
      <c r="B6" s="2"/>
      <c r="C6" s="2"/>
      <c r="D6" s="2"/>
      <c r="E6" s="2"/>
      <c r="F6" s="2"/>
      <c r="G6" s="2"/>
      <c r="H6" s="2"/>
    </row>
    <row r="7" customFormat="false" ht="15" hidden="false" customHeight="true" outlineLevel="0" collapsed="false">
      <c r="A7" s="2"/>
      <c r="B7" s="7" t="s">
        <v>7</v>
      </c>
      <c r="C7" s="7"/>
      <c r="D7" s="8"/>
      <c r="E7" s="8"/>
      <c r="F7" s="8"/>
      <c r="G7" s="2" t="s">
        <v>6</v>
      </c>
      <c r="H7" s="2"/>
    </row>
    <row r="8" customFormat="false" ht="26.25" hidden="false" customHeight="true" outlineLevel="0" collapsed="false">
      <c r="A8" s="2"/>
      <c r="B8" s="7"/>
      <c r="C8" s="7"/>
      <c r="D8" s="9"/>
      <c r="E8" s="9"/>
      <c r="F8" s="9"/>
      <c r="G8" s="2"/>
      <c r="H8" s="2"/>
    </row>
    <row r="9" customFormat="false" ht="11.25" hidden="false" customHeight="true" outlineLevel="0" collapsed="false">
      <c r="A9" s="2"/>
      <c r="B9" s="10"/>
      <c r="C9" s="10"/>
      <c r="D9" s="10"/>
      <c r="E9" s="10"/>
      <c r="F9" s="10"/>
      <c r="G9" s="10"/>
      <c r="H9" s="2"/>
    </row>
    <row r="10" customFormat="false" ht="23.25" hidden="false" customHeight="true" outlineLevel="0" collapsed="false">
      <c r="A10" s="2"/>
      <c r="B10" s="11" t="s">
        <v>8</v>
      </c>
      <c r="C10" s="11"/>
      <c r="D10" s="11"/>
      <c r="E10" s="11"/>
      <c r="F10" s="11"/>
      <c r="G10" s="11"/>
      <c r="H10" s="2"/>
    </row>
    <row r="11" customFormat="false" ht="31.5" hidden="false" customHeight="true" outlineLevel="0" collapsed="false">
      <c r="A11" s="2"/>
      <c r="B11" s="12" t="s">
        <v>4</v>
      </c>
      <c r="C11" s="12"/>
      <c r="D11" s="2"/>
      <c r="E11" s="2"/>
      <c r="F11" s="2"/>
      <c r="G11" s="2"/>
      <c r="H11" s="2"/>
    </row>
    <row r="12" customFormat="false" ht="15.75" hidden="false" customHeight="true" outlineLevel="0" collapsed="false">
      <c r="A12" s="13" t="s">
        <v>9</v>
      </c>
      <c r="B12" s="13"/>
      <c r="C12" s="13"/>
      <c r="D12" s="13"/>
      <c r="E12" s="13"/>
      <c r="F12" s="13"/>
      <c r="G12" s="13"/>
      <c r="H12" s="13"/>
    </row>
    <row r="13" customFormat="false" ht="15" hidden="false" customHeight="true" outlineLevel="0" collapsed="false">
      <c r="A13" s="2"/>
      <c r="B13" s="2"/>
      <c r="C13" s="2"/>
      <c r="D13" s="2" t="s">
        <v>10</v>
      </c>
      <c r="E13" s="2"/>
      <c r="F13" s="2"/>
      <c r="G13" s="2"/>
      <c r="H13" s="2"/>
    </row>
    <row r="14" customFormat="false" ht="36" hidden="false" customHeight="true" outlineLevel="0" collapsed="false">
      <c r="A14" s="14" t="s">
        <v>11</v>
      </c>
      <c r="B14" s="14"/>
      <c r="C14" s="14"/>
      <c r="D14" s="14"/>
      <c r="E14" s="14"/>
      <c r="F14" s="14"/>
      <c r="G14" s="14"/>
      <c r="H14" s="14"/>
    </row>
    <row r="15" customFormat="false" ht="15" hidden="false" customHeight="true" outlineLevel="0" collapsed="false">
      <c r="A15" s="15" t="s">
        <v>12</v>
      </c>
      <c r="B15" s="15"/>
      <c r="C15" s="15"/>
      <c r="D15" s="15"/>
      <c r="E15" s="15"/>
      <c r="F15" s="15"/>
      <c r="G15" s="15"/>
      <c r="H15" s="15"/>
    </row>
    <row r="16" customFormat="false" ht="1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</row>
    <row r="17" customFormat="false" ht="15" hidden="false" customHeight="true" outlineLevel="0" collapsed="false">
      <c r="A17" s="17"/>
      <c r="B17" s="2"/>
      <c r="C17" s="2" t="s">
        <v>13</v>
      </c>
      <c r="D17" s="2"/>
      <c r="E17" s="2"/>
      <c r="F17" s="2"/>
      <c r="G17" s="2"/>
      <c r="H17" s="2"/>
    </row>
    <row r="18" customFormat="false" ht="15" hidden="false" customHeight="true" outlineLevel="0" collapsed="false">
      <c r="A18" s="2"/>
      <c r="B18" s="2"/>
      <c r="C18" s="2"/>
      <c r="D18" s="2"/>
      <c r="E18" s="2"/>
      <c r="F18" s="2"/>
      <c r="G18" s="2"/>
      <c r="H18" s="2"/>
    </row>
    <row r="19" customFormat="false" ht="12.75" hidden="false" customHeight="true" outlineLevel="0" collapsed="false">
      <c r="A19" s="18"/>
      <c r="B19" s="18" t="s">
        <v>14</v>
      </c>
      <c r="C19" s="18"/>
      <c r="D19" s="19" t="s">
        <v>15</v>
      </c>
      <c r="E19" s="19"/>
      <c r="F19" s="19"/>
      <c r="G19" s="19"/>
      <c r="H19" s="18" t="s">
        <v>16</v>
      </c>
    </row>
    <row r="20" customFormat="false" ht="13.5" hidden="false" customHeight="true" outlineLevel="0" collapsed="false">
      <c r="A20" s="20" t="s">
        <v>17</v>
      </c>
      <c r="B20" s="20" t="s">
        <v>18</v>
      </c>
      <c r="C20" s="20" t="s">
        <v>19</v>
      </c>
      <c r="D20" s="21" t="s">
        <v>20</v>
      </c>
      <c r="E20" s="21" t="s">
        <v>21</v>
      </c>
      <c r="F20" s="21" t="s">
        <v>22</v>
      </c>
      <c r="G20" s="21" t="s">
        <v>23</v>
      </c>
      <c r="H20" s="20" t="s">
        <v>24</v>
      </c>
    </row>
    <row r="21" customFormat="false" ht="13.5" hidden="false" customHeight="true" outlineLevel="0" collapsed="false">
      <c r="A21" s="20" t="s">
        <v>25</v>
      </c>
      <c r="B21" s="20" t="s">
        <v>26</v>
      </c>
      <c r="C21" s="20" t="s">
        <v>27</v>
      </c>
      <c r="D21" s="20" t="s">
        <v>28</v>
      </c>
      <c r="E21" s="20" t="s">
        <v>29</v>
      </c>
      <c r="F21" s="20" t="s">
        <v>30</v>
      </c>
      <c r="G21" s="20" t="s">
        <v>31</v>
      </c>
      <c r="H21" s="20" t="s">
        <v>32</v>
      </c>
    </row>
    <row r="22" customFormat="false" ht="13.5" hidden="false" customHeight="true" outlineLevel="0" collapsed="false">
      <c r="A22" s="22"/>
      <c r="B22" s="22" t="s">
        <v>33</v>
      </c>
      <c r="C22" s="22"/>
      <c r="D22" s="22" t="s">
        <v>29</v>
      </c>
      <c r="E22" s="22"/>
      <c r="F22" s="22" t="s">
        <v>34</v>
      </c>
      <c r="G22" s="22"/>
      <c r="H22" s="22"/>
    </row>
    <row r="23" customFormat="false" ht="13.5" hidden="false" customHeight="true" outlineLevel="0" collapsed="false">
      <c r="A23" s="23" t="n">
        <v>1</v>
      </c>
      <c r="B23" s="23" t="n">
        <v>2</v>
      </c>
      <c r="C23" s="23" t="n">
        <v>3</v>
      </c>
      <c r="D23" s="23" t="n">
        <v>4</v>
      </c>
      <c r="E23" s="23" t="n">
        <v>5</v>
      </c>
      <c r="F23" s="23" t="n">
        <v>6</v>
      </c>
      <c r="G23" s="23" t="n">
        <v>7</v>
      </c>
      <c r="H23" s="23" t="n">
        <v>8</v>
      </c>
    </row>
    <row r="24" customFormat="false" ht="15.75" hidden="false" customHeight="true" outlineLevel="0" collapsed="false">
      <c r="A24" s="24"/>
      <c r="B24" s="24"/>
      <c r="C24" s="25" t="s">
        <v>35</v>
      </c>
      <c r="D24" s="25"/>
      <c r="E24" s="25"/>
      <c r="F24" s="25"/>
      <c r="G24" s="25"/>
      <c r="H24" s="25"/>
    </row>
    <row r="25" customFormat="false" ht="15" hidden="false" customHeight="true" outlineLevel="0" collapsed="false">
      <c r="A25" s="26" t="s">
        <v>36</v>
      </c>
      <c r="B25" s="24"/>
      <c r="C25" s="25" t="s">
        <v>37</v>
      </c>
      <c r="D25" s="27" t="n">
        <v>0</v>
      </c>
      <c r="E25" s="27" t="n">
        <v>0</v>
      </c>
      <c r="F25" s="27" t="n">
        <v>0</v>
      </c>
      <c r="G25" s="27" t="n">
        <v>0</v>
      </c>
      <c r="H25" s="27" t="n">
        <v>0</v>
      </c>
    </row>
    <row r="26" customFormat="false" ht="15" hidden="false" customHeight="true" outlineLevel="0" collapsed="false">
      <c r="A26" s="26"/>
      <c r="B26" s="24"/>
      <c r="C26" s="25" t="s">
        <v>38</v>
      </c>
      <c r="D26" s="25"/>
      <c r="E26" s="25"/>
      <c r="F26" s="25"/>
      <c r="G26" s="25"/>
      <c r="H26" s="25"/>
    </row>
    <row r="27" customFormat="false" ht="44.25" hidden="false" customHeight="true" outlineLevel="0" collapsed="false">
      <c r="A27" s="26" t="s">
        <v>39</v>
      </c>
      <c r="B27" s="24" t="s">
        <v>40</v>
      </c>
      <c r="C27" s="28" t="s">
        <v>11</v>
      </c>
      <c r="D27" s="29" t="n">
        <f aca="false">D28+D29+D30</f>
        <v>6176.45597</v>
      </c>
      <c r="E27" s="29" t="n">
        <f aca="false">E28+E29+E30</f>
        <v>619.04913</v>
      </c>
      <c r="F27" s="29" t="n">
        <f aca="false">F28+F29+F30</f>
        <v>2117.00038</v>
      </c>
      <c r="G27" s="29" t="n">
        <f aca="false">G28+G29+G30</f>
        <v>14.33952</v>
      </c>
      <c r="H27" s="29" t="n">
        <f aca="false">H28+H29+H30</f>
        <v>8926.845</v>
      </c>
    </row>
    <row r="28" customFormat="false" ht="15" hidden="false" customHeight="true" outlineLevel="0" collapsed="false">
      <c r="A28" s="26"/>
      <c r="B28" s="24"/>
      <c r="C28" s="30" t="s">
        <v>41</v>
      </c>
      <c r="D28" s="31" t="n">
        <f aca="false">'ОСР_02-01 баз'!D81</f>
        <v>2412.86</v>
      </c>
      <c r="E28" s="31" t="n">
        <f aca="false">'ОСР_02-01 баз'!E81</f>
        <v>425.08</v>
      </c>
      <c r="F28" s="31" t="n">
        <f aca="false">'ОСР_02-01 баз'!F81</f>
        <v>2070.31</v>
      </c>
      <c r="G28" s="31" t="n">
        <f aca="false">'ОСР_02-01 баз'!G81</f>
        <v>49.08</v>
      </c>
      <c r="H28" s="31" t="n">
        <f aca="false">SUM(D28:G28)</f>
        <v>4957.33</v>
      </c>
    </row>
    <row r="29" s="36" customFormat="true" ht="17.25" hidden="false" customHeight="true" outlineLevel="0" collapsed="false">
      <c r="A29" s="32"/>
      <c r="B29" s="33"/>
      <c r="C29" s="34" t="s">
        <v>42</v>
      </c>
      <c r="D29" s="35" t="n">
        <f aca="false">('ОСР_02-01 баз'!D82)</f>
        <v>-1135.54403</v>
      </c>
      <c r="E29" s="35" t="n">
        <f aca="false">('ОСР_02-01 баз'!E82)</f>
        <v>-311.54087</v>
      </c>
      <c r="F29" s="35" t="n">
        <f aca="false">('ОСР_02-01 баз'!F82)</f>
        <v>-2028.55962</v>
      </c>
      <c r="G29" s="35" t="n">
        <f aca="false">('ОСР_02-01 баз'!G82)</f>
        <v>-37.09048</v>
      </c>
      <c r="H29" s="35" t="n">
        <f aca="false">(SUM(D29:G29))</f>
        <v>-3512.735</v>
      </c>
    </row>
    <row r="30" customFormat="false" ht="17.25" hidden="false" customHeight="true" outlineLevel="0" collapsed="false">
      <c r="A30" s="26"/>
      <c r="B30" s="24"/>
      <c r="C30" s="30" t="s">
        <v>43</v>
      </c>
      <c r="D30" s="31" t="n">
        <f aca="false">'ОСР_02-01 баз'!D83</f>
        <v>4899.14</v>
      </c>
      <c r="E30" s="31" t="n">
        <f aca="false">'ОСР_02-01 баз'!E83</f>
        <v>505.51</v>
      </c>
      <c r="F30" s="31" t="n">
        <f aca="false">'ОСР_02-01 баз'!F83</f>
        <v>2075.25</v>
      </c>
      <c r="G30" s="31" t="n">
        <f aca="false">'ОСР_02-01 баз'!G83</f>
        <v>2.35</v>
      </c>
      <c r="H30" s="31" t="n">
        <f aca="false">SUM(D30:G30)</f>
        <v>7482.25</v>
      </c>
    </row>
    <row r="31" customFormat="false" ht="15" hidden="false" customHeight="true" outlineLevel="0" collapsed="false">
      <c r="A31" s="26" t="s">
        <v>44</v>
      </c>
      <c r="B31" s="24"/>
      <c r="C31" s="25" t="s">
        <v>45</v>
      </c>
      <c r="D31" s="27" t="n">
        <f aca="false">D32+D33+D34</f>
        <v>6176.45597</v>
      </c>
      <c r="E31" s="27" t="n">
        <f aca="false">E32+E33+E34</f>
        <v>619.04913</v>
      </c>
      <c r="F31" s="27" t="n">
        <f aca="false">F32+F33+F34</f>
        <v>2117.00038</v>
      </c>
      <c r="G31" s="27" t="n">
        <f aca="false">G32+G33+G34</f>
        <v>14.33952</v>
      </c>
      <c r="H31" s="27" t="n">
        <f aca="false">H32+H33+H34</f>
        <v>8926.845</v>
      </c>
    </row>
    <row r="32" customFormat="false" ht="15" hidden="false" customHeight="true" outlineLevel="0" collapsed="false">
      <c r="A32" s="26"/>
      <c r="B32" s="24"/>
      <c r="C32" s="30" t="s">
        <v>41</v>
      </c>
      <c r="D32" s="37" t="n">
        <f aca="false">D28</f>
        <v>2412.86</v>
      </c>
      <c r="E32" s="37" t="n">
        <f aca="false">E28</f>
        <v>425.08</v>
      </c>
      <c r="F32" s="37" t="n">
        <f aca="false">F28</f>
        <v>2070.31</v>
      </c>
      <c r="G32" s="37" t="n">
        <f aca="false">G28</f>
        <v>49.08</v>
      </c>
      <c r="H32" s="37" t="n">
        <f aca="false">H28</f>
        <v>4957.33</v>
      </c>
    </row>
    <row r="33" s="36" customFormat="true" ht="15" hidden="false" customHeight="true" outlineLevel="0" collapsed="false">
      <c r="A33" s="32"/>
      <c r="B33" s="33"/>
      <c r="C33" s="38" t="s">
        <v>42</v>
      </c>
      <c r="D33" s="35" t="n">
        <f aca="false">D29</f>
        <v>-1135.54403</v>
      </c>
      <c r="E33" s="35" t="n">
        <f aca="false">E29</f>
        <v>-311.54087</v>
      </c>
      <c r="F33" s="35" t="n">
        <f aca="false">F29</f>
        <v>-2028.55962</v>
      </c>
      <c r="G33" s="35" t="n">
        <f aca="false">G29</f>
        <v>-37.09048</v>
      </c>
      <c r="H33" s="35" t="n">
        <f aca="false">H29</f>
        <v>-3512.735</v>
      </c>
    </row>
    <row r="34" customFormat="false" ht="15" hidden="false" customHeight="true" outlineLevel="0" collapsed="false">
      <c r="A34" s="26"/>
      <c r="B34" s="24"/>
      <c r="C34" s="39" t="s">
        <v>43</v>
      </c>
      <c r="D34" s="37" t="n">
        <f aca="false">D30</f>
        <v>4899.14</v>
      </c>
      <c r="E34" s="37" t="n">
        <f aca="false">E30</f>
        <v>505.51</v>
      </c>
      <c r="F34" s="37" t="n">
        <f aca="false">F30</f>
        <v>2075.25</v>
      </c>
      <c r="G34" s="37" t="n">
        <f aca="false">G30</f>
        <v>2.35</v>
      </c>
      <c r="H34" s="37" t="n">
        <f aca="false">H30</f>
        <v>7482.25</v>
      </c>
    </row>
    <row r="35" customFormat="false" ht="15" hidden="false" customHeight="true" outlineLevel="0" collapsed="false">
      <c r="A35" s="26"/>
      <c r="B35" s="24"/>
      <c r="C35" s="25" t="s">
        <v>46</v>
      </c>
      <c r="D35" s="25"/>
      <c r="E35" s="25"/>
      <c r="F35" s="25"/>
      <c r="G35" s="25"/>
      <c r="H35" s="25"/>
    </row>
    <row r="36" customFormat="false" ht="15" hidden="false" customHeight="true" outlineLevel="0" collapsed="false">
      <c r="A36" s="26" t="s">
        <v>47</v>
      </c>
      <c r="B36" s="40" t="s">
        <v>48</v>
      </c>
      <c r="C36" s="28" t="s">
        <v>49</v>
      </c>
      <c r="D36" s="29" t="n">
        <f aca="false">D37+D38+D39</f>
        <v>30.16</v>
      </c>
      <c r="E36" s="29" t="n">
        <f aca="false">E37+E38+E39</f>
        <v>3.47</v>
      </c>
      <c r="F36" s="29" t="n">
        <f aca="false">F37+F38+F39</f>
        <v>1.72</v>
      </c>
      <c r="G36" s="29" t="n">
        <f aca="false">G37+G38+G39</f>
        <v>0</v>
      </c>
      <c r="H36" s="29" t="n">
        <f aca="false">H37+H38+H39</f>
        <v>35.35</v>
      </c>
    </row>
    <row r="37" customFormat="false" ht="15" hidden="false" customHeight="true" outlineLevel="0" collapsed="false">
      <c r="A37" s="26"/>
      <c r="B37" s="24"/>
      <c r="C37" s="41" t="s">
        <v>41</v>
      </c>
      <c r="D37" s="37" t="n">
        <v>0</v>
      </c>
      <c r="E37" s="37" t="n">
        <v>0</v>
      </c>
      <c r="F37" s="37" t="n">
        <v>0</v>
      </c>
      <c r="G37" s="37" t="n">
        <v>0</v>
      </c>
      <c r="H37" s="31" t="n">
        <f aca="false">SUM(D37:G37)</f>
        <v>0</v>
      </c>
      <c r="L37" s="42" t="n">
        <v>3.67</v>
      </c>
      <c r="M37" s="43" t="n">
        <v>585</v>
      </c>
    </row>
    <row r="38" customFormat="false" ht="15" hidden="false" customHeight="true" outlineLevel="0" collapsed="false">
      <c r="A38" s="26"/>
      <c r="B38" s="24"/>
      <c r="C38" s="44" t="s">
        <v>42</v>
      </c>
      <c r="D38" s="35" t="n">
        <v>0</v>
      </c>
      <c r="E38" s="35" t="n">
        <v>0</v>
      </c>
      <c r="F38" s="35" t="n">
        <v>0</v>
      </c>
      <c r="G38" s="35" t="n">
        <v>0</v>
      </c>
      <c r="H38" s="45" t="n">
        <f aca="false">SUM(D38:G38)</f>
        <v>0</v>
      </c>
      <c r="L38" s="46" t="n">
        <v>3.05</v>
      </c>
      <c r="M38" s="47" t="n">
        <v>463</v>
      </c>
    </row>
    <row r="39" customFormat="false" ht="15" hidden="false" customHeight="true" outlineLevel="0" collapsed="false">
      <c r="A39" s="26"/>
      <c r="C39" s="48" t="s">
        <v>43</v>
      </c>
      <c r="D39" s="37" t="n">
        <v>30.16</v>
      </c>
      <c r="E39" s="37" t="n">
        <v>3.47</v>
      </c>
      <c r="F39" s="37" t="n">
        <v>1.72</v>
      </c>
      <c r="G39" s="37" t="n">
        <v>0</v>
      </c>
      <c r="H39" s="31" t="n">
        <f aca="false">SUM(D39:G39)</f>
        <v>35.35</v>
      </c>
      <c r="L39" s="46" t="n">
        <v>0.62</v>
      </c>
      <c r="M39" s="47" t="n">
        <v>109</v>
      </c>
    </row>
    <row r="40" customFormat="false" ht="15" hidden="false" customHeight="true" outlineLevel="0" collapsed="false">
      <c r="A40" s="26"/>
      <c r="B40" s="24"/>
      <c r="C40" s="25" t="s">
        <v>50</v>
      </c>
      <c r="D40" s="27" t="n">
        <f aca="false">D41+D42+D43</f>
        <v>30.16</v>
      </c>
      <c r="E40" s="27" t="n">
        <f aca="false">E41+E42+E43</f>
        <v>3.47</v>
      </c>
      <c r="F40" s="27" t="n">
        <f aca="false">F41+F42+F43</f>
        <v>1.72</v>
      </c>
      <c r="G40" s="27" t="n">
        <f aca="false">G41+G42+G43</f>
        <v>0</v>
      </c>
      <c r="H40" s="27" t="n">
        <f aca="false">H41+H42+H43</f>
        <v>35.35</v>
      </c>
      <c r="L40" s="46" t="n">
        <v>0</v>
      </c>
      <c r="M40" s="47" t="n">
        <v>13</v>
      </c>
    </row>
    <row r="41" customFormat="false" ht="15" hidden="false" customHeight="true" outlineLevel="0" collapsed="false">
      <c r="A41" s="26"/>
      <c r="B41" s="24"/>
      <c r="C41" s="30" t="s">
        <v>41</v>
      </c>
      <c r="D41" s="37" t="n">
        <f aca="false">D37</f>
        <v>0</v>
      </c>
      <c r="E41" s="37" t="n">
        <f aca="false">E37</f>
        <v>0</v>
      </c>
      <c r="F41" s="37" t="n">
        <f aca="false">F37</f>
        <v>0</v>
      </c>
      <c r="G41" s="37" t="n">
        <f aca="false">G37</f>
        <v>0</v>
      </c>
      <c r="H41" s="31" t="n">
        <f aca="false">SUM(D41:G41)</f>
        <v>0</v>
      </c>
      <c r="L41" s="46" t="n">
        <v>0</v>
      </c>
      <c r="M41" s="47" t="n">
        <v>0</v>
      </c>
    </row>
    <row r="42" customFormat="false" ht="15" hidden="false" customHeight="true" outlineLevel="0" collapsed="false">
      <c r="A42" s="26"/>
      <c r="B42" s="24"/>
      <c r="C42" s="38" t="s">
        <v>42</v>
      </c>
      <c r="D42" s="35" t="n">
        <f aca="false">D38</f>
        <v>0</v>
      </c>
      <c r="E42" s="35" t="n">
        <f aca="false">E38</f>
        <v>0</v>
      </c>
      <c r="F42" s="35" t="n">
        <f aca="false">F38</f>
        <v>0</v>
      </c>
      <c r="G42" s="35" t="n">
        <f aca="false">G38</f>
        <v>0</v>
      </c>
      <c r="H42" s="45" t="n">
        <f aca="false">SUM(D42:G42)</f>
        <v>0</v>
      </c>
      <c r="L42" s="46" t="n">
        <v>0.44466</v>
      </c>
      <c r="M42" s="47" t="n">
        <v>125.86111</v>
      </c>
    </row>
    <row r="43" customFormat="false" ht="15" hidden="false" customHeight="true" outlineLevel="0" collapsed="false">
      <c r="A43" s="26"/>
      <c r="B43" s="24"/>
      <c r="C43" s="39" t="s">
        <v>43</v>
      </c>
      <c r="D43" s="37" t="n">
        <f aca="false">D39</f>
        <v>30.16</v>
      </c>
      <c r="E43" s="37" t="n">
        <f aca="false">E39</f>
        <v>3.47</v>
      </c>
      <c r="F43" s="37" t="n">
        <f aca="false">F39</f>
        <v>1.72</v>
      </c>
      <c r="G43" s="37" t="n">
        <f aca="false">G39</f>
        <v>0</v>
      </c>
      <c r="H43" s="31" t="n">
        <f aca="false">SUM(D43:G43)</f>
        <v>35.35</v>
      </c>
    </row>
    <row r="44" customFormat="false" ht="15" hidden="false" customHeight="true" outlineLevel="0" collapsed="false">
      <c r="A44" s="26"/>
      <c r="B44" s="24"/>
      <c r="C44" s="25" t="s">
        <v>51</v>
      </c>
      <c r="D44" s="25"/>
      <c r="E44" s="25"/>
      <c r="F44" s="25"/>
      <c r="G44" s="25"/>
      <c r="H44" s="25"/>
    </row>
    <row r="45" customFormat="false" ht="15" hidden="false" customHeight="true" outlineLevel="0" collapsed="false">
      <c r="A45" s="26" t="s">
        <v>52</v>
      </c>
      <c r="B45" s="40" t="s">
        <v>53</v>
      </c>
      <c r="C45" s="28" t="s">
        <v>54</v>
      </c>
      <c r="D45" s="29" t="n">
        <f aca="false">D46+D47+D48</f>
        <v>3.05</v>
      </c>
      <c r="E45" s="29" t="n">
        <f aca="false">E46+E47+E48</f>
        <v>0.62</v>
      </c>
      <c r="F45" s="29" t="n">
        <f aca="false">F46+F47+F48</f>
        <v>0</v>
      </c>
      <c r="G45" s="29" t="n">
        <f aca="false">G46+G47+G48</f>
        <v>0</v>
      </c>
      <c r="H45" s="29" t="n">
        <f aca="false">H46+H47+H48</f>
        <v>3.67</v>
      </c>
    </row>
    <row r="46" customFormat="false" ht="15" hidden="false" customHeight="true" outlineLevel="0" collapsed="false">
      <c r="A46" s="26"/>
      <c r="B46" s="24"/>
      <c r="C46" s="41" t="s">
        <v>41</v>
      </c>
      <c r="D46" s="37" t="n">
        <v>0</v>
      </c>
      <c r="E46" s="37" t="n">
        <v>0</v>
      </c>
      <c r="F46" s="37" t="n">
        <v>0</v>
      </c>
      <c r="G46" s="37" t="n">
        <v>0</v>
      </c>
      <c r="H46" s="31" t="n">
        <f aca="false">SUM(D46:G46)</f>
        <v>0</v>
      </c>
    </row>
    <row r="47" customFormat="false" ht="15" hidden="false" customHeight="true" outlineLevel="0" collapsed="false">
      <c r="A47" s="26"/>
      <c r="B47" s="24"/>
      <c r="C47" s="44" t="s">
        <v>42</v>
      </c>
      <c r="D47" s="35" t="n">
        <v>0</v>
      </c>
      <c r="E47" s="35" t="n">
        <v>0</v>
      </c>
      <c r="F47" s="35" t="n">
        <v>0</v>
      </c>
      <c r="G47" s="35" t="n">
        <v>0</v>
      </c>
      <c r="H47" s="45" t="n">
        <f aca="false">SUM(D47:G47)</f>
        <v>0</v>
      </c>
    </row>
    <row r="48" customFormat="false" ht="15" hidden="false" customHeight="true" outlineLevel="0" collapsed="false">
      <c r="A48" s="26"/>
      <c r="B48" s="24"/>
      <c r="C48" s="48" t="s">
        <v>43</v>
      </c>
      <c r="D48" s="37" t="n">
        <v>3.05</v>
      </c>
      <c r="E48" s="37" t="n">
        <v>0.62</v>
      </c>
      <c r="F48" s="37" t="n">
        <v>0</v>
      </c>
      <c r="G48" s="37" t="n">
        <v>0</v>
      </c>
      <c r="H48" s="31" t="n">
        <f aca="false">SUM(D48:G48)</f>
        <v>3.67</v>
      </c>
    </row>
    <row r="49" customFormat="false" ht="15" hidden="false" customHeight="true" outlineLevel="0" collapsed="false">
      <c r="A49" s="26"/>
      <c r="B49" s="24"/>
      <c r="C49" s="25" t="s">
        <v>55</v>
      </c>
      <c r="D49" s="27" t="n">
        <f aca="false">D50+D51+D52</f>
        <v>3.05</v>
      </c>
      <c r="E49" s="27" t="n">
        <f aca="false">E50+E51+E52</f>
        <v>0.62</v>
      </c>
      <c r="F49" s="27" t="n">
        <f aca="false">F50+F51+F52</f>
        <v>0</v>
      </c>
      <c r="G49" s="27" t="n">
        <f aca="false">G50+G51+G52</f>
        <v>0</v>
      </c>
      <c r="H49" s="27" t="n">
        <f aca="false">H50+H51+H52</f>
        <v>3.67</v>
      </c>
    </row>
    <row r="50" customFormat="false" ht="15" hidden="false" customHeight="true" outlineLevel="0" collapsed="false">
      <c r="A50" s="26"/>
      <c r="B50" s="24"/>
      <c r="C50" s="30" t="s">
        <v>41</v>
      </c>
      <c r="D50" s="37" t="n">
        <f aca="false">D46</f>
        <v>0</v>
      </c>
      <c r="E50" s="37" t="n">
        <f aca="false">E46</f>
        <v>0</v>
      </c>
      <c r="F50" s="37" t="n">
        <f aca="false">F46</f>
        <v>0</v>
      </c>
      <c r="G50" s="37" t="n">
        <f aca="false">G46</f>
        <v>0</v>
      </c>
      <c r="H50" s="31" t="n">
        <f aca="false">SUM(D50:G50)</f>
        <v>0</v>
      </c>
      <c r="L50" s="42" t="n">
        <v>146.55</v>
      </c>
    </row>
    <row r="51" customFormat="false" ht="15" hidden="false" customHeight="true" outlineLevel="0" collapsed="false">
      <c r="A51" s="26"/>
      <c r="B51" s="24"/>
      <c r="C51" s="38" t="s">
        <v>42</v>
      </c>
      <c r="D51" s="35" t="n">
        <f aca="false">D47</f>
        <v>0</v>
      </c>
      <c r="E51" s="35" t="n">
        <f aca="false">E47</f>
        <v>0</v>
      </c>
      <c r="F51" s="35" t="n">
        <f aca="false">F47</f>
        <v>0</v>
      </c>
      <c r="G51" s="35" t="n">
        <f aca="false">G47</f>
        <v>0</v>
      </c>
      <c r="H51" s="45" t="n">
        <f aca="false">SUM(D51:G51)</f>
        <v>0</v>
      </c>
      <c r="L51" s="46" t="n">
        <v>142.36</v>
      </c>
    </row>
    <row r="52" customFormat="false" ht="15" hidden="false" customHeight="true" outlineLevel="0" collapsed="false">
      <c r="A52" s="26"/>
      <c r="B52" s="24"/>
      <c r="C52" s="39" t="s">
        <v>43</v>
      </c>
      <c r="D52" s="37" t="n">
        <f aca="false">D48</f>
        <v>3.05</v>
      </c>
      <c r="E52" s="37" t="n">
        <f aca="false">E48</f>
        <v>0.62</v>
      </c>
      <c r="F52" s="37" t="n">
        <f aca="false">F48</f>
        <v>0</v>
      </c>
      <c r="G52" s="37" t="n">
        <f aca="false">G48</f>
        <v>0</v>
      </c>
      <c r="H52" s="31" t="n">
        <f aca="false">SUM(D52:G52)</f>
        <v>3.67</v>
      </c>
      <c r="L52" s="46" t="n">
        <v>2.47</v>
      </c>
    </row>
    <row r="53" customFormat="false" ht="15" hidden="false" customHeight="true" outlineLevel="0" collapsed="false">
      <c r="A53" s="26"/>
      <c r="B53" s="24"/>
      <c r="C53" s="25" t="s">
        <v>56</v>
      </c>
      <c r="D53" s="25"/>
      <c r="E53" s="25"/>
      <c r="F53" s="25"/>
      <c r="G53" s="25"/>
      <c r="H53" s="25"/>
      <c r="L53" s="46" t="n">
        <v>1.72</v>
      </c>
    </row>
    <row r="54" customFormat="false" ht="15" hidden="false" customHeight="true" outlineLevel="0" collapsed="false">
      <c r="A54" s="26" t="s">
        <v>57</v>
      </c>
      <c r="B54" s="49" t="s">
        <v>58</v>
      </c>
      <c r="C54" s="50" t="s">
        <v>59</v>
      </c>
      <c r="D54" s="29" t="n">
        <f aca="false">D55+D56+D57</f>
        <v>142.36</v>
      </c>
      <c r="E54" s="29" t="n">
        <f aca="false">E55+E56+E57</f>
        <v>2.47</v>
      </c>
      <c r="F54" s="29" t="n">
        <f aca="false">F55+F56+F57</f>
        <v>1.72</v>
      </c>
      <c r="G54" s="29" t="n">
        <f aca="false">G55+G56+G57</f>
        <v>0</v>
      </c>
      <c r="H54" s="29" t="n">
        <f aca="false">H55+H56+H57</f>
        <v>146.55</v>
      </c>
      <c r="L54" s="46" t="n">
        <v>0</v>
      </c>
    </row>
    <row r="55" customFormat="false" ht="15" hidden="false" customHeight="true" outlineLevel="0" collapsed="false">
      <c r="A55" s="26"/>
      <c r="B55" s="24"/>
      <c r="C55" s="30" t="s">
        <v>41</v>
      </c>
      <c r="D55" s="37" t="n">
        <v>0</v>
      </c>
      <c r="E55" s="37" t="n">
        <v>0</v>
      </c>
      <c r="F55" s="37" t="n">
        <v>0</v>
      </c>
      <c r="G55" s="37" t="n">
        <v>0</v>
      </c>
      <c r="H55" s="31" t="n">
        <f aca="false">SUM(D55:G55)</f>
        <v>0</v>
      </c>
    </row>
    <row r="56" customFormat="false" ht="15" hidden="false" customHeight="true" outlineLevel="0" collapsed="false">
      <c r="A56" s="26"/>
      <c r="B56" s="24"/>
      <c r="C56" s="38" t="s">
        <v>42</v>
      </c>
      <c r="D56" s="35" t="n">
        <v>0</v>
      </c>
      <c r="E56" s="35" t="n">
        <v>0</v>
      </c>
      <c r="F56" s="35" t="n">
        <v>0</v>
      </c>
      <c r="G56" s="35" t="n">
        <v>0</v>
      </c>
      <c r="H56" s="45" t="n">
        <f aca="false">SUM(D56:G56)</f>
        <v>0</v>
      </c>
    </row>
    <row r="57" customFormat="false" ht="15" hidden="false" customHeight="true" outlineLevel="0" collapsed="false">
      <c r="A57" s="26"/>
      <c r="C57" s="39" t="s">
        <v>43</v>
      </c>
      <c r="D57" s="37" t="n">
        <v>142.36</v>
      </c>
      <c r="E57" s="37" t="n">
        <v>2.47</v>
      </c>
      <c r="F57" s="37" t="n">
        <v>1.72</v>
      </c>
      <c r="G57" s="37" t="n">
        <v>0</v>
      </c>
      <c r="H57" s="31" t="n">
        <f aca="false">SUM(D57:G57)</f>
        <v>146.55</v>
      </c>
    </row>
    <row r="58" customFormat="false" ht="15" hidden="false" customHeight="true" outlineLevel="0" collapsed="false">
      <c r="A58" s="26" t="s">
        <v>60</v>
      </c>
      <c r="B58" s="49"/>
      <c r="C58" s="25" t="s">
        <v>61</v>
      </c>
      <c r="D58" s="27" t="n">
        <f aca="false">D59+D60+D61</f>
        <v>142.36</v>
      </c>
      <c r="E58" s="27" t="n">
        <f aca="false">E59+E60+E61</f>
        <v>2.47</v>
      </c>
      <c r="F58" s="27" t="n">
        <f aca="false">F59+F60+F61</f>
        <v>1.74</v>
      </c>
      <c r="G58" s="27" t="n">
        <f aca="false">G59+G60+G61</f>
        <v>0</v>
      </c>
      <c r="H58" s="27" t="n">
        <f aca="false">H59+H60+H61</f>
        <v>146.57</v>
      </c>
    </row>
    <row r="59" customFormat="false" ht="15" hidden="false" customHeight="true" outlineLevel="0" collapsed="false">
      <c r="A59" s="26"/>
      <c r="B59" s="49"/>
      <c r="C59" s="30" t="s">
        <v>41</v>
      </c>
      <c r="D59" s="37" t="n">
        <f aca="false">D55</f>
        <v>0</v>
      </c>
      <c r="E59" s="37" t="n">
        <f aca="false">E55</f>
        <v>0</v>
      </c>
      <c r="F59" s="37" t="n">
        <f aca="false">F55</f>
        <v>0</v>
      </c>
      <c r="G59" s="37" t="n">
        <f aca="false">G55</f>
        <v>0</v>
      </c>
      <c r="H59" s="31" t="n">
        <f aca="false">SUM(D59:G59)</f>
        <v>0</v>
      </c>
    </row>
    <row r="60" customFormat="false" ht="15" hidden="false" customHeight="true" outlineLevel="0" collapsed="false">
      <c r="A60" s="26"/>
      <c r="B60" s="49"/>
      <c r="C60" s="38" t="s">
        <v>42</v>
      </c>
      <c r="D60" s="35" t="n">
        <f aca="false">D56</f>
        <v>0</v>
      </c>
      <c r="E60" s="35" t="n">
        <f aca="false">E56</f>
        <v>0</v>
      </c>
      <c r="F60" s="35" t="n">
        <f aca="false">F56</f>
        <v>0</v>
      </c>
      <c r="G60" s="35" t="n">
        <f aca="false">G56</f>
        <v>0</v>
      </c>
      <c r="H60" s="45" t="n">
        <f aca="false">SUM(D60:G60)</f>
        <v>0</v>
      </c>
    </row>
    <row r="61" customFormat="false" ht="15" hidden="false" customHeight="true" outlineLevel="0" collapsed="false">
      <c r="A61" s="26"/>
      <c r="B61" s="49"/>
      <c r="C61" s="39" t="s">
        <v>43</v>
      </c>
      <c r="D61" s="37" t="n">
        <f aca="false">D57</f>
        <v>142.36</v>
      </c>
      <c r="E61" s="37" t="n">
        <f aca="false">E57</f>
        <v>2.47</v>
      </c>
      <c r="F61" s="37" t="n">
        <v>1.74</v>
      </c>
      <c r="G61" s="37" t="n">
        <f aca="false">G57</f>
        <v>0</v>
      </c>
      <c r="H61" s="31" t="n">
        <f aca="false">SUM(D61:G61)</f>
        <v>146.57</v>
      </c>
    </row>
    <row r="62" customFormat="false" ht="15" hidden="false" customHeight="true" outlineLevel="0" collapsed="false">
      <c r="A62" s="26" t="s">
        <v>62</v>
      </c>
      <c r="B62" s="24"/>
      <c r="C62" s="25" t="s">
        <v>63</v>
      </c>
      <c r="D62" s="27" t="n">
        <f aca="false">D63+D64+D65</f>
        <v>6348.97597</v>
      </c>
      <c r="E62" s="27" t="n">
        <f aca="false">E63+E64+E65</f>
        <v>624.98913</v>
      </c>
      <c r="F62" s="27" t="n">
        <f aca="false">F63+F64+F65</f>
        <v>2120.46038</v>
      </c>
      <c r="G62" s="27" t="n">
        <f aca="false">G63+G64+G65</f>
        <v>14.33952</v>
      </c>
      <c r="H62" s="27" t="n">
        <f aca="false">H63+H64+H65</f>
        <v>9108.765</v>
      </c>
    </row>
    <row r="63" customFormat="false" ht="15" hidden="false" customHeight="true" outlineLevel="0" collapsed="false">
      <c r="A63" s="26"/>
      <c r="B63" s="24"/>
      <c r="C63" s="30" t="s">
        <v>41</v>
      </c>
      <c r="D63" s="37" t="n">
        <f aca="false">D32+D41+D59</f>
        <v>2412.86</v>
      </c>
      <c r="E63" s="37" t="n">
        <f aca="false">E32+E41+E59</f>
        <v>425.08</v>
      </c>
      <c r="F63" s="37" t="n">
        <f aca="false">F32+F41+F59</f>
        <v>2070.31</v>
      </c>
      <c r="G63" s="37" t="n">
        <f aca="false">G32+G41+G59</f>
        <v>49.08</v>
      </c>
      <c r="H63" s="37" t="n">
        <f aca="false">H32+H41+H59</f>
        <v>4957.33</v>
      </c>
    </row>
    <row r="64" s="36" customFormat="true" ht="15" hidden="false" customHeight="true" outlineLevel="0" collapsed="false">
      <c r="A64" s="32"/>
      <c r="B64" s="33"/>
      <c r="C64" s="38" t="s">
        <v>64</v>
      </c>
      <c r="D64" s="37" t="n">
        <f aca="false">D33+D42+D60</f>
        <v>-1135.54403</v>
      </c>
      <c r="E64" s="37" t="n">
        <f aca="false">E33+E42+E60</f>
        <v>-311.54087</v>
      </c>
      <c r="F64" s="37" t="n">
        <f aca="false">F33+F42+F60</f>
        <v>-2028.55962</v>
      </c>
      <c r="G64" s="37" t="n">
        <f aca="false">G33+G42+G60</f>
        <v>-37.09048</v>
      </c>
      <c r="H64" s="37" t="n">
        <f aca="false">H33+H42+H60</f>
        <v>-3512.735</v>
      </c>
    </row>
    <row r="65" customFormat="false" ht="15" hidden="false" customHeight="true" outlineLevel="0" collapsed="false">
      <c r="A65" s="26"/>
      <c r="B65" s="24"/>
      <c r="C65" s="39" t="s">
        <v>65</v>
      </c>
      <c r="D65" s="37" t="n">
        <f aca="false">D34+D43+D61</f>
        <v>5071.66</v>
      </c>
      <c r="E65" s="37" t="n">
        <f aca="false">E34+E43+E61</f>
        <v>511.45</v>
      </c>
      <c r="F65" s="37" t="n">
        <f aca="false">F34+F43+F61</f>
        <v>2078.71</v>
      </c>
      <c r="G65" s="37" t="n">
        <f aca="false">G34+G43+G61</f>
        <v>2.35</v>
      </c>
      <c r="H65" s="37" t="n">
        <f aca="false">H34+H43+H61</f>
        <v>7664.17</v>
      </c>
    </row>
    <row r="66" customFormat="false" ht="15" hidden="false" customHeight="true" outlineLevel="0" collapsed="false">
      <c r="A66" s="26"/>
      <c r="B66" s="24"/>
      <c r="C66" s="25" t="s">
        <v>66</v>
      </c>
      <c r="D66" s="25"/>
      <c r="E66" s="25"/>
      <c r="F66" s="25"/>
      <c r="G66" s="25"/>
      <c r="H66" s="25"/>
    </row>
    <row r="67" customFormat="false" ht="15" hidden="false" customHeight="true" outlineLevel="0" collapsed="false">
      <c r="A67" s="26" t="s">
        <v>67</v>
      </c>
      <c r="B67" s="51"/>
      <c r="C67" s="52" t="s">
        <v>68</v>
      </c>
      <c r="D67" s="29" t="n">
        <f aca="false">D68+D69+D70</f>
        <v>88.88566358</v>
      </c>
      <c r="E67" s="29" t="n">
        <f aca="false">E68+E69+E70</f>
        <v>8.74984782</v>
      </c>
      <c r="F67" s="29" t="n">
        <f aca="false">F68+F69+F70</f>
        <v>0</v>
      </c>
      <c r="G67" s="29" t="n">
        <f aca="false">G68+G69+G70</f>
        <v>-0.748514368</v>
      </c>
      <c r="H67" s="29" t="n">
        <f aca="false">H68+H69+H70</f>
        <v>96.886997032</v>
      </c>
    </row>
    <row r="68" customFormat="false" ht="36" hidden="false" customHeight="true" outlineLevel="0" collapsed="false">
      <c r="A68" s="26"/>
      <c r="B68" s="51" t="s">
        <v>69</v>
      </c>
      <c r="C68" s="30" t="s">
        <v>70</v>
      </c>
      <c r="D68" s="53" t="n">
        <f aca="false">D63*0.014</f>
        <v>33.78004</v>
      </c>
      <c r="E68" s="53" t="n">
        <f aca="false">E63*0.014</f>
        <v>5.95112</v>
      </c>
      <c r="F68" s="53" t="n">
        <v>0</v>
      </c>
      <c r="G68" s="53" t="n">
        <v>0</v>
      </c>
      <c r="H68" s="53" t="n">
        <f aca="false">SUM(D68:G68)</f>
        <v>39.73116</v>
      </c>
    </row>
    <row r="69" s="36" customFormat="true" ht="32.25" hidden="false" customHeight="true" outlineLevel="0" collapsed="false">
      <c r="A69" s="32"/>
      <c r="B69" s="51" t="s">
        <v>69</v>
      </c>
      <c r="C69" s="38" t="s">
        <v>71</v>
      </c>
      <c r="D69" s="54" t="n">
        <f aca="false">D64*0.014</f>
        <v>-15.89761642</v>
      </c>
      <c r="E69" s="54" t="n">
        <f aca="false">E64*0.014</f>
        <v>-4.36157218</v>
      </c>
      <c r="F69" s="54" t="n">
        <v>0</v>
      </c>
      <c r="G69" s="54" t="n">
        <f aca="false">G64*0.0216</f>
        <v>-0.801154368</v>
      </c>
      <c r="H69" s="54" t="n">
        <f aca="false">SUM(D69:G69)</f>
        <v>-21.060342968</v>
      </c>
    </row>
    <row r="70" customFormat="false" ht="60" hidden="false" customHeight="true" outlineLevel="0" collapsed="false">
      <c r="A70" s="26"/>
      <c r="B70" s="51" t="s">
        <v>72</v>
      </c>
      <c r="C70" s="39" t="s">
        <v>73</v>
      </c>
      <c r="D70" s="53" t="n">
        <f aca="false">D65*1.4%</f>
        <v>71.00324</v>
      </c>
      <c r="E70" s="53" t="n">
        <f aca="false">E65*1.4%</f>
        <v>7.1603</v>
      </c>
      <c r="F70" s="53" t="n">
        <v>0</v>
      </c>
      <c r="G70" s="53" t="n">
        <f aca="false">G65*2.24%</f>
        <v>0.05264</v>
      </c>
      <c r="H70" s="53" t="n">
        <f aca="false">SUM(D70:G70)</f>
        <v>78.21618</v>
      </c>
    </row>
    <row r="71" customFormat="false" ht="15" hidden="false" customHeight="true" outlineLevel="0" collapsed="false">
      <c r="A71" s="26" t="s">
        <v>74</v>
      </c>
      <c r="B71" s="24"/>
      <c r="C71" s="25" t="s">
        <v>75</v>
      </c>
      <c r="D71" s="27" t="n">
        <f aca="false">D72+D73+D74</f>
        <v>88.88566358</v>
      </c>
      <c r="E71" s="27" t="n">
        <f aca="false">E72+E73+E74</f>
        <v>8.74984782</v>
      </c>
      <c r="F71" s="27" t="n">
        <f aca="false">F72+F73+F74</f>
        <v>0</v>
      </c>
      <c r="G71" s="27" t="n">
        <f aca="false">G72+G73+G74</f>
        <v>-0.748514368</v>
      </c>
      <c r="H71" s="27" t="n">
        <f aca="false">H72+H73+H74</f>
        <v>96.886997032</v>
      </c>
    </row>
    <row r="72" customFormat="false" ht="15" hidden="false" customHeight="true" outlineLevel="0" collapsed="false">
      <c r="A72" s="26"/>
      <c r="B72" s="24"/>
      <c r="C72" s="30" t="s">
        <v>41</v>
      </c>
      <c r="D72" s="37" t="n">
        <f aca="false">D68</f>
        <v>33.78004</v>
      </c>
      <c r="E72" s="37" t="n">
        <f aca="false">E68</f>
        <v>5.95112</v>
      </c>
      <c r="F72" s="37" t="n">
        <f aca="false">F68</f>
        <v>0</v>
      </c>
      <c r="G72" s="37" t="n">
        <f aca="false">G68</f>
        <v>0</v>
      </c>
      <c r="H72" s="37" t="n">
        <f aca="false">H68</f>
        <v>39.73116</v>
      </c>
    </row>
    <row r="73" s="36" customFormat="true" ht="15" hidden="false" customHeight="true" outlineLevel="0" collapsed="false">
      <c r="A73" s="32"/>
      <c r="B73" s="33"/>
      <c r="C73" s="38" t="s">
        <v>42</v>
      </c>
      <c r="D73" s="35" t="n">
        <f aca="false">D69</f>
        <v>-15.89761642</v>
      </c>
      <c r="E73" s="35" t="n">
        <f aca="false">E69</f>
        <v>-4.36157218</v>
      </c>
      <c r="F73" s="35" t="n">
        <f aca="false">F69</f>
        <v>0</v>
      </c>
      <c r="G73" s="35" t="n">
        <f aca="false">G69</f>
        <v>-0.801154368</v>
      </c>
      <c r="H73" s="35" t="n">
        <f aca="false">H69</f>
        <v>-21.060342968</v>
      </c>
    </row>
    <row r="74" customFormat="false" ht="15" hidden="false" customHeight="true" outlineLevel="0" collapsed="false">
      <c r="A74" s="26"/>
      <c r="B74" s="24"/>
      <c r="C74" s="39" t="s">
        <v>43</v>
      </c>
      <c r="D74" s="37" t="n">
        <f aca="false">D70</f>
        <v>71.00324</v>
      </c>
      <c r="E74" s="37" t="n">
        <f aca="false">E70</f>
        <v>7.1603</v>
      </c>
      <c r="F74" s="37" t="n">
        <f aca="false">F70</f>
        <v>0</v>
      </c>
      <c r="G74" s="37" t="n">
        <f aca="false">G70</f>
        <v>0.05264</v>
      </c>
      <c r="H74" s="37" t="n">
        <f aca="false">H70</f>
        <v>78.21618</v>
      </c>
    </row>
    <row r="75" customFormat="false" ht="15" hidden="false" customHeight="true" outlineLevel="0" collapsed="false">
      <c r="A75" s="26" t="s">
        <v>76</v>
      </c>
      <c r="B75" s="24"/>
      <c r="C75" s="25" t="s">
        <v>77</v>
      </c>
      <c r="D75" s="27" t="n">
        <f aca="false">D76+D77+D78</f>
        <v>6437.86163358</v>
      </c>
      <c r="E75" s="27" t="n">
        <f aca="false">E76+E77+E78</f>
        <v>633.73897782</v>
      </c>
      <c r="F75" s="27" t="n">
        <f aca="false">F76+F77+F78</f>
        <v>2120.46038</v>
      </c>
      <c r="G75" s="27" t="n">
        <f aca="false">G76+G77+G78</f>
        <v>13.591005632</v>
      </c>
      <c r="H75" s="27" t="n">
        <f aca="false">H76+H77+H78</f>
        <v>9205.651997032</v>
      </c>
    </row>
    <row r="76" customFormat="false" ht="15" hidden="false" customHeight="true" outlineLevel="0" collapsed="false">
      <c r="A76" s="26"/>
      <c r="B76" s="24"/>
      <c r="C76" s="30" t="s">
        <v>41</v>
      </c>
      <c r="D76" s="37" t="n">
        <f aca="false">D63+D72</f>
        <v>2446.64004</v>
      </c>
      <c r="E76" s="37" t="n">
        <f aca="false">E63+E72</f>
        <v>431.03112</v>
      </c>
      <c r="F76" s="37" t="n">
        <f aca="false">F63+F72</f>
        <v>2070.31</v>
      </c>
      <c r="G76" s="37" t="n">
        <f aca="false">G63+G72</f>
        <v>49.08</v>
      </c>
      <c r="H76" s="37" t="n">
        <f aca="false">H63+H72</f>
        <v>4997.06116</v>
      </c>
    </row>
    <row r="77" s="36" customFormat="true" ht="15" hidden="false" customHeight="true" outlineLevel="0" collapsed="false">
      <c r="A77" s="32"/>
      <c r="B77" s="33"/>
      <c r="C77" s="38" t="s">
        <v>64</v>
      </c>
      <c r="D77" s="35" t="n">
        <f aca="false">D64+D73</f>
        <v>-1151.44164642</v>
      </c>
      <c r="E77" s="35" t="n">
        <f aca="false">E64+E73</f>
        <v>-315.90244218</v>
      </c>
      <c r="F77" s="35" t="n">
        <f aca="false">F64+F73</f>
        <v>-2028.55962</v>
      </c>
      <c r="G77" s="35" t="n">
        <f aca="false">G64+G73</f>
        <v>-37.891634368</v>
      </c>
      <c r="H77" s="35" t="n">
        <f aca="false">H64+H73</f>
        <v>-3533.795342968</v>
      </c>
    </row>
    <row r="78" customFormat="false" ht="15" hidden="false" customHeight="true" outlineLevel="0" collapsed="false">
      <c r="A78" s="26"/>
      <c r="B78" s="24"/>
      <c r="C78" s="39" t="s">
        <v>65</v>
      </c>
      <c r="D78" s="37" t="n">
        <f aca="false">D65+D74</f>
        <v>5142.66324</v>
      </c>
      <c r="E78" s="37" t="n">
        <f aca="false">E65+E74</f>
        <v>518.6103</v>
      </c>
      <c r="F78" s="37" t="n">
        <f aca="false">F65+F74</f>
        <v>2078.71</v>
      </c>
      <c r="G78" s="37" t="n">
        <f aca="false">G65+G74</f>
        <v>2.40264</v>
      </c>
      <c r="H78" s="37" t="n">
        <f aca="false">H65+H74</f>
        <v>7742.38618</v>
      </c>
    </row>
    <row r="79" customFormat="false" ht="15" hidden="false" customHeight="true" outlineLevel="0" collapsed="false">
      <c r="A79" s="26"/>
      <c r="B79" s="24"/>
      <c r="C79" s="25" t="s">
        <v>78</v>
      </c>
      <c r="D79" s="25"/>
      <c r="E79" s="25"/>
      <c r="F79" s="25"/>
      <c r="G79" s="25"/>
      <c r="H79" s="25"/>
    </row>
    <row r="80" customFormat="false" ht="20.25" hidden="false" customHeight="true" outlineLevel="0" collapsed="false">
      <c r="A80" s="26" t="s">
        <v>79</v>
      </c>
      <c r="B80" s="51"/>
      <c r="C80" s="52" t="s">
        <v>80</v>
      </c>
      <c r="D80" s="29" t="n">
        <f aca="false">SUM(D81:D82)</f>
        <v>0</v>
      </c>
      <c r="E80" s="29" t="n">
        <f aca="false">SUM(E81:E82)</f>
        <v>0</v>
      </c>
      <c r="F80" s="29" t="n">
        <f aca="false">SUM(F81:F82)</f>
        <v>0</v>
      </c>
      <c r="G80" s="29" t="n">
        <f aca="false">SUM(G81:G82)</f>
        <v>7.31632908516001</v>
      </c>
      <c r="H80" s="29" t="n">
        <f aca="false">SUM(H81:H82)</f>
        <v>7.31632908516001</v>
      </c>
    </row>
    <row r="81" customFormat="false" ht="39" hidden="false" customHeight="true" outlineLevel="0" collapsed="false">
      <c r="A81" s="26"/>
      <c r="B81" s="51" t="s">
        <v>81</v>
      </c>
      <c r="C81" s="30" t="s">
        <v>82</v>
      </c>
      <c r="D81" s="31" t="n">
        <v>0</v>
      </c>
      <c r="E81" s="31" t="n">
        <v>0</v>
      </c>
      <c r="F81" s="31" t="n">
        <v>0</v>
      </c>
      <c r="G81" s="31" t="n">
        <f aca="false">(D76+E76+F76+G76)*0.5%</f>
        <v>24.9853058</v>
      </c>
      <c r="H81" s="31" t="n">
        <f aca="false">SUM(D81:G81)</f>
        <v>24.9853058</v>
      </c>
    </row>
    <row r="82" s="36" customFormat="true" ht="39" hidden="false" customHeight="true" outlineLevel="0" collapsed="false">
      <c r="A82" s="32"/>
      <c r="B82" s="51" t="s">
        <v>81</v>
      </c>
      <c r="C82" s="38" t="s">
        <v>83</v>
      </c>
      <c r="D82" s="45" t="n">
        <v>0</v>
      </c>
      <c r="E82" s="45" t="n">
        <v>0</v>
      </c>
      <c r="F82" s="45" t="n">
        <v>0</v>
      </c>
      <c r="G82" s="45" t="n">
        <f aca="false">(D77+E77+F77+G77)*0.5%</f>
        <v>-17.66897671484</v>
      </c>
      <c r="H82" s="45" t="n">
        <f aca="false">SUM(D82:G82)</f>
        <v>-17.66897671484</v>
      </c>
    </row>
    <row r="83" customFormat="false" ht="24.75" hidden="false" customHeight="true" outlineLevel="0" collapsed="false">
      <c r="A83" s="26"/>
      <c r="B83" s="51"/>
      <c r="C83" s="39" t="s">
        <v>84</v>
      </c>
      <c r="D83" s="37" t="n">
        <v>0</v>
      </c>
      <c r="E83" s="37" t="n">
        <v>0</v>
      </c>
      <c r="F83" s="37" t="n">
        <v>0</v>
      </c>
      <c r="G83" s="37" t="n">
        <v>0</v>
      </c>
      <c r="H83" s="37" t="n">
        <f aca="false">SUM(D83:G83)</f>
        <v>0</v>
      </c>
    </row>
    <row r="84" customFormat="false" ht="18" hidden="false" customHeight="true" outlineLevel="0" collapsed="false">
      <c r="A84" s="26" t="s">
        <v>85</v>
      </c>
      <c r="B84" s="24" t="s">
        <v>86</v>
      </c>
      <c r="C84" s="52" t="s">
        <v>87</v>
      </c>
      <c r="D84" s="55" t="n">
        <f aca="false">SUM(D85:D86)</f>
        <v>0</v>
      </c>
      <c r="E84" s="55" t="n">
        <f aca="false">SUM(E85:E86)</f>
        <v>0</v>
      </c>
      <c r="F84" s="55" t="n">
        <f aca="false">SUM(F85:F86)</f>
        <v>0</v>
      </c>
      <c r="G84" s="55" t="n">
        <f aca="false">SUM(G85:G87)</f>
        <v>53.74</v>
      </c>
      <c r="H84" s="55" t="n">
        <f aca="false">SUM(H85:H87)</f>
        <v>53.74</v>
      </c>
    </row>
    <row r="85" customFormat="false" ht="18" hidden="false" customHeight="true" outlineLevel="0" collapsed="false">
      <c r="A85" s="26"/>
      <c r="B85" s="51"/>
      <c r="C85" s="30" t="s">
        <v>41</v>
      </c>
      <c r="D85" s="37" t="n">
        <f aca="false">'ОСР_09-01 баз'!D45</f>
        <v>0</v>
      </c>
      <c r="E85" s="37" t="n">
        <f aca="false">'ОСР_09-01 баз'!E45</f>
        <v>0</v>
      </c>
      <c r="F85" s="37" t="n">
        <f aca="false">'ОСР_09-01 баз'!F45</f>
        <v>0</v>
      </c>
      <c r="G85" s="37" t="n">
        <f aca="false">'ОСР_09-01 баз'!G45</f>
        <v>0</v>
      </c>
      <c r="H85" s="37" t="n">
        <f aca="false">SUM(D85:G85)</f>
        <v>0</v>
      </c>
    </row>
    <row r="86" s="36" customFormat="true" ht="18" hidden="false" customHeight="true" outlineLevel="0" collapsed="false">
      <c r="A86" s="32"/>
      <c r="B86" s="33"/>
      <c r="C86" s="38" t="s">
        <v>42</v>
      </c>
      <c r="D86" s="35" t="n">
        <f aca="false">'ОСР_09-01 баз'!D46</f>
        <v>0</v>
      </c>
      <c r="E86" s="35" t="n">
        <f aca="false">'ОСР_09-01 баз'!E46</f>
        <v>0</v>
      </c>
      <c r="F86" s="35" t="n">
        <f aca="false">'ОСР_09-01 баз'!F46</f>
        <v>0</v>
      </c>
      <c r="G86" s="35" t="n">
        <f aca="false">'ОСР_09-01 баз'!G46</f>
        <v>0</v>
      </c>
      <c r="H86" s="54" t="n">
        <f aca="false">SUM(D86:G86)</f>
        <v>0</v>
      </c>
    </row>
    <row r="87" customFormat="false" ht="18" hidden="false" customHeight="true" outlineLevel="0" collapsed="false">
      <c r="A87" s="26"/>
      <c r="B87" s="51"/>
      <c r="C87" s="39" t="s">
        <v>43</v>
      </c>
      <c r="D87" s="37" t="n">
        <f aca="false">'ОСР_09-01 баз'!D47</f>
        <v>0</v>
      </c>
      <c r="E87" s="37" t="n">
        <f aca="false">'ОСР_09-01 баз'!E47</f>
        <v>0</v>
      </c>
      <c r="F87" s="37" t="n">
        <f aca="false">'ОСР_09-01 баз'!F47</f>
        <v>0</v>
      </c>
      <c r="G87" s="37" t="n">
        <f aca="false">'ОСР_09-01 баз'!G47</f>
        <v>53.74</v>
      </c>
      <c r="H87" s="37" t="n">
        <f aca="false">SUM(D87:G87)</f>
        <v>53.74</v>
      </c>
    </row>
    <row r="88" customFormat="false" ht="18" hidden="false" customHeight="true" outlineLevel="0" collapsed="false">
      <c r="A88" s="26" t="s">
        <v>88</v>
      </c>
      <c r="B88" s="24" t="s">
        <v>89</v>
      </c>
      <c r="C88" s="52" t="s">
        <v>90</v>
      </c>
      <c r="D88" s="55" t="n">
        <f aca="false">SUM(D89:D90)</f>
        <v>0</v>
      </c>
      <c r="E88" s="55" t="n">
        <f aca="false">SUM(E89:E90)</f>
        <v>0</v>
      </c>
      <c r="F88" s="55" t="n">
        <f aca="false">SUM(F89:F90)</f>
        <v>0</v>
      </c>
      <c r="G88" s="55" t="n">
        <f aca="false">SUM(G89:G91)</f>
        <v>87.89</v>
      </c>
      <c r="H88" s="55" t="n">
        <f aca="false">SUM(H89:H91)</f>
        <v>87.89</v>
      </c>
    </row>
    <row r="89" customFormat="false" ht="18" hidden="false" customHeight="true" outlineLevel="0" collapsed="false">
      <c r="A89" s="26"/>
      <c r="B89" s="51"/>
      <c r="C89" s="30" t="s">
        <v>41</v>
      </c>
      <c r="D89" s="37" t="n">
        <f aca="false">'ОСР_09-02 баз '!D37</f>
        <v>0</v>
      </c>
      <c r="E89" s="37" t="n">
        <f aca="false">'ОСР_09-02 баз '!E37</f>
        <v>0</v>
      </c>
      <c r="F89" s="37" t="n">
        <f aca="false">'ОСР_09-02 баз '!F37</f>
        <v>0</v>
      </c>
      <c r="G89" s="37" t="n">
        <f aca="false">'ОСР_09-02 баз '!G37</f>
        <v>0</v>
      </c>
      <c r="H89" s="37" t="n">
        <f aca="false">SUM(D89:G89)</f>
        <v>0</v>
      </c>
    </row>
    <row r="90" s="36" customFormat="true" ht="18" hidden="false" customHeight="true" outlineLevel="0" collapsed="false">
      <c r="A90" s="32"/>
      <c r="B90" s="33"/>
      <c r="C90" s="38" t="s">
        <v>42</v>
      </c>
      <c r="D90" s="35" t="n">
        <f aca="false">'ОСР_09-02 баз '!D38</f>
        <v>0</v>
      </c>
      <c r="E90" s="35" t="n">
        <f aca="false">'ОСР_09-02 баз '!E38</f>
        <v>0</v>
      </c>
      <c r="F90" s="35" t="n">
        <f aca="false">'ОСР_09-02 баз '!F38</f>
        <v>0</v>
      </c>
      <c r="G90" s="35" t="n">
        <f aca="false">'ОСР_09-02 баз '!G38</f>
        <v>0</v>
      </c>
      <c r="H90" s="54" t="n">
        <f aca="false">SUM(D90:G90)</f>
        <v>0</v>
      </c>
    </row>
    <row r="91" customFormat="false" ht="18" hidden="false" customHeight="true" outlineLevel="0" collapsed="false">
      <c r="A91" s="26"/>
      <c r="B91" s="51"/>
      <c r="C91" s="39" t="s">
        <v>43</v>
      </c>
      <c r="D91" s="37" t="n">
        <f aca="false">'ОСР_09-02 баз '!D39</f>
        <v>0</v>
      </c>
      <c r="E91" s="37" t="n">
        <f aca="false">'ОСР_09-02 баз '!E39</f>
        <v>0</v>
      </c>
      <c r="F91" s="37" t="n">
        <f aca="false">'ОСР_09-02 баз '!F39</f>
        <v>0</v>
      </c>
      <c r="G91" s="37" t="n">
        <f aca="false">'ОСР_09-02 баз '!G39</f>
        <v>87.89</v>
      </c>
      <c r="H91" s="37" t="n">
        <f aca="false">SUM(D91:G91)</f>
        <v>87.89</v>
      </c>
    </row>
    <row r="92" customFormat="false" ht="62.25" hidden="false" customHeight="true" outlineLevel="0" collapsed="false">
      <c r="A92" s="26" t="s">
        <v>91</v>
      </c>
      <c r="B92" s="56" t="s">
        <v>92</v>
      </c>
      <c r="C92" s="52" t="s">
        <v>93</v>
      </c>
      <c r="D92" s="55" t="n">
        <f aca="false">SUM(D93:D94)</f>
        <v>0</v>
      </c>
      <c r="E92" s="55" t="n">
        <f aca="false">SUM(E93:E94)</f>
        <v>0</v>
      </c>
      <c r="F92" s="55" t="n">
        <f aca="false">SUM(F93:F94)</f>
        <v>0</v>
      </c>
      <c r="G92" s="55" t="n">
        <f aca="false">SUM(G93:G95)</f>
        <v>50.95146186</v>
      </c>
      <c r="H92" s="55" t="n">
        <f aca="false">SUM(H93:H95)</f>
        <v>50.95146186</v>
      </c>
    </row>
    <row r="93" customFormat="false" ht="18" hidden="false" customHeight="true" outlineLevel="0" collapsed="false">
      <c r="A93" s="26"/>
      <c r="B93" s="51"/>
      <c r="C93" s="30" t="s">
        <v>41</v>
      </c>
      <c r="D93" s="37" t="n">
        <v>0</v>
      </c>
      <c r="E93" s="37" t="n">
        <v>0</v>
      </c>
      <c r="F93" s="37" t="n">
        <v>0</v>
      </c>
      <c r="G93" s="37" t="n">
        <v>0</v>
      </c>
      <c r="H93" s="37" t="n">
        <f aca="false">SUM(D93:G93)</f>
        <v>0</v>
      </c>
    </row>
    <row r="94" s="36" customFormat="true" ht="18" hidden="false" customHeight="true" outlineLevel="0" collapsed="false">
      <c r="A94" s="32"/>
      <c r="B94" s="33"/>
      <c r="C94" s="38" t="s">
        <v>42</v>
      </c>
      <c r="D94" s="54" t="n">
        <v>0</v>
      </c>
      <c r="E94" s="54" t="n">
        <v>0</v>
      </c>
      <c r="F94" s="54" t="n">
        <v>0</v>
      </c>
      <c r="G94" s="54" t="n">
        <v>0</v>
      </c>
      <c r="H94" s="54" t="n">
        <f aca="false">SUM(D94:G94)</f>
        <v>0</v>
      </c>
    </row>
    <row r="95" customFormat="false" ht="40.5" hidden="false" customHeight="true" outlineLevel="0" collapsed="false">
      <c r="A95" s="26"/>
      <c r="B95" s="51" t="s">
        <v>94</v>
      </c>
      <c r="C95" s="39" t="s">
        <v>43</v>
      </c>
      <c r="D95" s="37" t="n">
        <v>0</v>
      </c>
      <c r="E95" s="37" t="n">
        <v>0</v>
      </c>
      <c r="F95" s="37" t="n">
        <v>0</v>
      </c>
      <c r="G95" s="37" t="n">
        <f aca="false">(D78+E78)*0.9%</f>
        <v>50.95146186</v>
      </c>
      <c r="H95" s="37" t="n">
        <f aca="false">SUM(D95:G95)</f>
        <v>50.95146186</v>
      </c>
    </row>
    <row r="96" customFormat="false" ht="15" hidden="false" customHeight="true" outlineLevel="0" collapsed="false">
      <c r="A96" s="26" t="s">
        <v>95</v>
      </c>
      <c r="B96" s="24"/>
      <c r="C96" s="25" t="s">
        <v>96</v>
      </c>
      <c r="D96" s="27" t="n">
        <f aca="false">D97+D98+D99</f>
        <v>0</v>
      </c>
      <c r="E96" s="27" t="n">
        <f aca="false">SUM(E97:E99)</f>
        <v>0</v>
      </c>
      <c r="F96" s="27" t="n">
        <f aca="false">SUM(F97:F99)</f>
        <v>0</v>
      </c>
      <c r="G96" s="27" t="n">
        <f aca="false">SUM(G97:G99)</f>
        <v>199.89779094516</v>
      </c>
      <c r="H96" s="27" t="n">
        <f aca="false">SUM(H97:H99)</f>
        <v>199.89779094516</v>
      </c>
    </row>
    <row r="97" customFormat="false" ht="15" hidden="false" customHeight="true" outlineLevel="0" collapsed="false">
      <c r="A97" s="26"/>
      <c r="B97" s="24"/>
      <c r="C97" s="30" t="s">
        <v>41</v>
      </c>
      <c r="D97" s="37" t="n">
        <f aca="false">D81+D85+D89+D93</f>
        <v>0</v>
      </c>
      <c r="E97" s="37" t="n">
        <f aca="false">E81+E85+E89+E93</f>
        <v>0</v>
      </c>
      <c r="F97" s="37" t="n">
        <f aca="false">F81+F85+F89+F93</f>
        <v>0</v>
      </c>
      <c r="G97" s="37" t="n">
        <f aca="false">G81+G85+G89+G93</f>
        <v>24.9853058</v>
      </c>
      <c r="H97" s="37" t="n">
        <f aca="false">H81+H85+H89+H93</f>
        <v>24.9853058</v>
      </c>
    </row>
    <row r="98" s="36" customFormat="true" ht="15" hidden="false" customHeight="true" outlineLevel="0" collapsed="false">
      <c r="A98" s="32"/>
      <c r="B98" s="33"/>
      <c r="C98" s="38" t="s">
        <v>42</v>
      </c>
      <c r="D98" s="35" t="n">
        <f aca="false">D82+D86+D90+D94</f>
        <v>0</v>
      </c>
      <c r="E98" s="35" t="n">
        <f aca="false">E82+E86+E90+E94</f>
        <v>0</v>
      </c>
      <c r="F98" s="35" t="n">
        <f aca="false">F82+F86+F90+F94</f>
        <v>0</v>
      </c>
      <c r="G98" s="35" t="n">
        <f aca="false">G82+G86+G90+G94</f>
        <v>-17.66897671484</v>
      </c>
      <c r="H98" s="35" t="n">
        <f aca="false">H82+H86+H90+H94</f>
        <v>-17.66897671484</v>
      </c>
    </row>
    <row r="99" customFormat="false" ht="15" hidden="false" customHeight="true" outlineLevel="0" collapsed="false">
      <c r="A99" s="26"/>
      <c r="B99" s="24"/>
      <c r="C99" s="39" t="s">
        <v>43</v>
      </c>
      <c r="D99" s="37" t="n">
        <f aca="false">D87+D91+D95</f>
        <v>0</v>
      </c>
      <c r="E99" s="37" t="n">
        <f aca="false">E87+E91+E95</f>
        <v>0</v>
      </c>
      <c r="F99" s="37" t="n">
        <f aca="false">F87+F91+F95</f>
        <v>0</v>
      </c>
      <c r="G99" s="37" t="n">
        <f aca="false">G83+G87+G91+G95</f>
        <v>192.58146186</v>
      </c>
      <c r="H99" s="37" t="n">
        <f aca="false">H83+H87+H91+H95</f>
        <v>192.58146186</v>
      </c>
    </row>
    <row r="100" customFormat="false" ht="15" hidden="false" customHeight="true" outlineLevel="0" collapsed="false">
      <c r="A100" s="26" t="s">
        <v>97</v>
      </c>
      <c r="B100" s="24"/>
      <c r="C100" s="25" t="s">
        <v>98</v>
      </c>
      <c r="D100" s="27" t="n">
        <f aca="false">SUM(D101:D103)</f>
        <v>6437.86163358</v>
      </c>
      <c r="E100" s="27" t="n">
        <f aca="false">SUM(E101:E103)</f>
        <v>633.73897782</v>
      </c>
      <c r="F100" s="27" t="n">
        <f aca="false">SUM(F101:F103)</f>
        <v>2120.46038</v>
      </c>
      <c r="G100" s="27" t="n">
        <f aca="false">SUM(G101:G103)</f>
        <v>213.48879657716</v>
      </c>
      <c r="H100" s="27" t="n">
        <f aca="false">SUM(H101:H103)</f>
        <v>9405.54978797716</v>
      </c>
    </row>
    <row r="101" customFormat="false" ht="15" hidden="false" customHeight="true" outlineLevel="0" collapsed="false">
      <c r="A101" s="26"/>
      <c r="B101" s="24"/>
      <c r="C101" s="30" t="s">
        <v>41</v>
      </c>
      <c r="D101" s="37" t="n">
        <f aca="false">D76+D97</f>
        <v>2446.64004</v>
      </c>
      <c r="E101" s="37" t="n">
        <f aca="false">E76+E97</f>
        <v>431.03112</v>
      </c>
      <c r="F101" s="37" t="n">
        <f aca="false">F76+F97</f>
        <v>2070.31</v>
      </c>
      <c r="G101" s="37" t="n">
        <f aca="false">G76+G97</f>
        <v>74.0653058</v>
      </c>
      <c r="H101" s="37" t="n">
        <f aca="false">D101+E101+F101+G101</f>
        <v>5022.0464658</v>
      </c>
      <c r="L101" s="57" t="n">
        <f aca="false">D101+E101+F101+G101</f>
        <v>5022.0464658</v>
      </c>
    </row>
    <row r="102" s="36" customFormat="true" ht="15" hidden="false" customHeight="true" outlineLevel="0" collapsed="false">
      <c r="A102" s="32"/>
      <c r="B102" s="33"/>
      <c r="C102" s="38" t="s">
        <v>42</v>
      </c>
      <c r="D102" s="35" t="n">
        <f aca="false">D77+D98</f>
        <v>-1151.44164642</v>
      </c>
      <c r="E102" s="35" t="n">
        <f aca="false">E77+E98</f>
        <v>-315.90244218</v>
      </c>
      <c r="F102" s="35" t="n">
        <f aca="false">F77+F98</f>
        <v>-2028.55962</v>
      </c>
      <c r="G102" s="35" t="n">
        <f aca="false">G77+G98</f>
        <v>-55.56061108284</v>
      </c>
      <c r="H102" s="35" t="n">
        <f aca="false">D102+E102+F102+G102</f>
        <v>-3551.46431968284</v>
      </c>
    </row>
    <row r="103" customFormat="false" ht="15" hidden="false" customHeight="true" outlineLevel="0" collapsed="false">
      <c r="A103" s="26"/>
      <c r="B103" s="24"/>
      <c r="C103" s="39" t="s">
        <v>43</v>
      </c>
      <c r="D103" s="37" t="n">
        <f aca="false">D78+D99</f>
        <v>5142.66324</v>
      </c>
      <c r="E103" s="37" t="n">
        <f aca="false">E78+E99</f>
        <v>518.6103</v>
      </c>
      <c r="F103" s="37" t="n">
        <f aca="false">F78+F99</f>
        <v>2078.71</v>
      </c>
      <c r="G103" s="37" t="n">
        <f aca="false">G78+G99</f>
        <v>194.98410186</v>
      </c>
      <c r="H103" s="37" t="n">
        <f aca="false">D103+E103+F103+G103</f>
        <v>7934.96764186</v>
      </c>
    </row>
    <row r="104" customFormat="false" ht="24.75" hidden="false" customHeight="true" outlineLevel="0" collapsed="false">
      <c r="A104" s="26"/>
      <c r="B104" s="24"/>
      <c r="C104" s="25" t="s">
        <v>99</v>
      </c>
      <c r="D104" s="25"/>
      <c r="E104" s="25"/>
      <c r="F104" s="25"/>
      <c r="G104" s="25"/>
      <c r="H104" s="25"/>
    </row>
    <row r="105" customFormat="false" ht="126" hidden="false" customHeight="true" outlineLevel="0" collapsed="false">
      <c r="A105" s="26" t="s">
        <v>100</v>
      </c>
      <c r="B105" s="58" t="s">
        <v>101</v>
      </c>
      <c r="C105" s="59" t="s">
        <v>102</v>
      </c>
      <c r="D105" s="29" t="n">
        <f aca="false">SUM(D106:D107)</f>
        <v>0</v>
      </c>
      <c r="E105" s="29" t="n">
        <f aca="false">SUM(E106:E107)</f>
        <v>0</v>
      </c>
      <c r="F105" s="29" t="n">
        <f aca="false">SUM(F106:F107)</f>
        <v>0</v>
      </c>
      <c r="G105" s="29" t="n">
        <f aca="false">SUM(G106:G108)</f>
        <v>129.33</v>
      </c>
      <c r="H105" s="29" t="n">
        <f aca="false">SUM(H106:H108)</f>
        <v>129.33</v>
      </c>
    </row>
    <row r="106" customFormat="false" ht="19.5" hidden="false" customHeight="true" outlineLevel="0" collapsed="false">
      <c r="A106" s="26"/>
      <c r="B106" s="24"/>
      <c r="C106" s="30" t="s">
        <v>41</v>
      </c>
      <c r="D106" s="37" t="n">
        <v>0</v>
      </c>
      <c r="E106" s="37" t="n">
        <v>0</v>
      </c>
      <c r="F106" s="37" t="n">
        <v>0</v>
      </c>
      <c r="G106" s="37" t="n">
        <f aca="false">ROUND((D101+E101+F101+G101)*1.25%*1.1,2)</f>
        <v>69.05</v>
      </c>
      <c r="H106" s="37" t="n">
        <f aca="false">SUM(D106:G106)</f>
        <v>69.05</v>
      </c>
    </row>
    <row r="107" customFormat="false" ht="20.25" hidden="false" customHeight="true" outlineLevel="0" collapsed="false">
      <c r="A107" s="26"/>
      <c r="B107" s="24"/>
      <c r="C107" s="38" t="s">
        <v>42</v>
      </c>
      <c r="D107" s="35" t="n">
        <v>0</v>
      </c>
      <c r="E107" s="35" t="n">
        <v>0</v>
      </c>
      <c r="F107" s="35" t="n">
        <v>0</v>
      </c>
      <c r="G107" s="35" t="n">
        <f aca="false">ROUND((D102+E102+F102+G102)*1.25%*1.1,2)</f>
        <v>-48.83</v>
      </c>
      <c r="H107" s="35" t="n">
        <f aca="false">SUM(D107:G107)</f>
        <v>-48.83</v>
      </c>
    </row>
    <row r="108" customFormat="false" ht="19.5" hidden="false" customHeight="true" outlineLevel="0" collapsed="false">
      <c r="A108" s="26"/>
      <c r="C108" s="39" t="s">
        <v>43</v>
      </c>
      <c r="D108" s="37" t="n">
        <v>0</v>
      </c>
      <c r="E108" s="37" t="n">
        <v>0</v>
      </c>
      <c r="F108" s="37" t="n">
        <v>0</v>
      </c>
      <c r="G108" s="37" t="n">
        <f aca="false">ROUND((D103+E103+F103+G103)*1.25%*1.1,2)</f>
        <v>109.11</v>
      </c>
      <c r="H108" s="37" t="n">
        <f aca="false">SUM(D108:G108)</f>
        <v>109.11</v>
      </c>
    </row>
    <row r="109" customFormat="false" ht="82.5" hidden="false" customHeight="true" outlineLevel="0" collapsed="false">
      <c r="A109" s="26" t="s">
        <v>103</v>
      </c>
      <c r="B109" s="58" t="s">
        <v>104</v>
      </c>
      <c r="C109" s="60" t="s">
        <v>105</v>
      </c>
      <c r="D109" s="29" t="n">
        <f aca="false">SUM(D110:D111)</f>
        <v>0</v>
      </c>
      <c r="E109" s="29" t="n">
        <f aca="false">SUM(E110:E111)</f>
        <v>0</v>
      </c>
      <c r="F109" s="29" t="n">
        <f aca="false">SUM(F110:F111)</f>
        <v>0</v>
      </c>
      <c r="G109" s="29" t="n">
        <f aca="false">SUM(G110:G112)</f>
        <v>201.28</v>
      </c>
      <c r="H109" s="29" t="n">
        <f aca="false">SUM(H110:H112)</f>
        <v>201.28</v>
      </c>
    </row>
    <row r="110" customFormat="false" ht="18" hidden="false" customHeight="true" outlineLevel="0" collapsed="false">
      <c r="A110" s="26"/>
      <c r="B110" s="56"/>
      <c r="C110" s="30" t="s">
        <v>41</v>
      </c>
      <c r="D110" s="31" t="n">
        <v>0</v>
      </c>
      <c r="E110" s="31" t="n">
        <v>0</v>
      </c>
      <c r="F110" s="31" t="n">
        <v>0</v>
      </c>
      <c r="G110" s="31" t="n">
        <f aca="false">ROUND((D101+E101+F101+G101)*2.14%,2)</f>
        <v>107.47</v>
      </c>
      <c r="H110" s="31" t="n">
        <f aca="false">SUM(D110:G110)</f>
        <v>107.47</v>
      </c>
    </row>
    <row r="111" s="36" customFormat="true" ht="18" hidden="false" customHeight="true" outlineLevel="0" collapsed="false">
      <c r="A111" s="32"/>
      <c r="B111" s="61"/>
      <c r="C111" s="38" t="s">
        <v>42</v>
      </c>
      <c r="D111" s="54" t="n">
        <v>0</v>
      </c>
      <c r="E111" s="54" t="n">
        <v>0</v>
      </c>
      <c r="F111" s="54" t="n">
        <v>0</v>
      </c>
      <c r="G111" s="45" t="n">
        <f aca="false">ROUND((D102+E102+F102+G102)*2.14%,2)</f>
        <v>-76</v>
      </c>
      <c r="H111" s="54" t="n">
        <f aca="false">SUM(D111:G111)</f>
        <v>-76</v>
      </c>
    </row>
    <row r="112" customFormat="false" ht="15" hidden="false" customHeight="true" outlineLevel="0" collapsed="false">
      <c r="A112" s="26"/>
      <c r="B112" s="24"/>
      <c r="C112" s="39" t="s">
        <v>43</v>
      </c>
      <c r="D112" s="37" t="n">
        <v>0</v>
      </c>
      <c r="E112" s="37" t="n">
        <v>0</v>
      </c>
      <c r="F112" s="37" t="n">
        <v>0</v>
      </c>
      <c r="G112" s="31" t="n">
        <f aca="false">ROUND((D103+E103+F103+G103)*2.14%,2)</f>
        <v>169.81</v>
      </c>
      <c r="H112" s="53" t="n">
        <f aca="false">SUM(D112:G112)</f>
        <v>169.81</v>
      </c>
    </row>
    <row r="113" customFormat="false" ht="17.25" hidden="false" customHeight="true" outlineLevel="0" collapsed="false">
      <c r="A113" s="26" t="s">
        <v>106</v>
      </c>
      <c r="B113" s="24"/>
      <c r="C113" s="25" t="s">
        <v>107</v>
      </c>
      <c r="D113" s="62" t="n">
        <f aca="false">SUM(D114:D115)</f>
        <v>0</v>
      </c>
      <c r="E113" s="62" t="n">
        <f aca="false">SUM(E114:E115)</f>
        <v>0</v>
      </c>
      <c r="F113" s="62" t="n">
        <f aca="false">SUM(F114:F115)</f>
        <v>0</v>
      </c>
      <c r="G113" s="62" t="n">
        <f aca="false">SUM(G114:G116)</f>
        <v>330.61</v>
      </c>
      <c r="H113" s="62" t="n">
        <f aca="false">SUM(H114:H116)</f>
        <v>330.61</v>
      </c>
    </row>
    <row r="114" customFormat="false" ht="17.25" hidden="false" customHeight="true" outlineLevel="0" collapsed="false">
      <c r="A114" s="26"/>
      <c r="B114" s="24"/>
      <c r="C114" s="30" t="s">
        <v>41</v>
      </c>
      <c r="D114" s="37" t="n">
        <v>0</v>
      </c>
      <c r="E114" s="37" t="n">
        <v>0</v>
      </c>
      <c r="F114" s="37" t="n">
        <v>0</v>
      </c>
      <c r="G114" s="37" t="n">
        <f aca="false">G106+G110</f>
        <v>176.52</v>
      </c>
      <c r="H114" s="37" t="n">
        <f aca="false">SUM(D114:G114)</f>
        <v>176.52</v>
      </c>
    </row>
    <row r="115" s="36" customFormat="true" ht="17.25" hidden="false" customHeight="true" outlineLevel="0" collapsed="false">
      <c r="A115" s="32"/>
      <c r="B115" s="33"/>
      <c r="C115" s="38" t="s">
        <v>64</v>
      </c>
      <c r="D115" s="35" t="n">
        <f aca="false">D111</f>
        <v>0</v>
      </c>
      <c r="E115" s="35" t="n">
        <f aca="false">E111</f>
        <v>0</v>
      </c>
      <c r="F115" s="35" t="n">
        <f aca="false">F111</f>
        <v>0</v>
      </c>
      <c r="G115" s="35" t="n">
        <f aca="false">G107+G111</f>
        <v>-124.83</v>
      </c>
      <c r="H115" s="35" t="n">
        <f aca="false">SUM(D115:G115)</f>
        <v>-124.83</v>
      </c>
    </row>
    <row r="116" customFormat="false" ht="15" hidden="false" customHeight="true" outlineLevel="0" collapsed="false">
      <c r="A116" s="26"/>
      <c r="B116" s="24"/>
      <c r="C116" s="39" t="s">
        <v>43</v>
      </c>
      <c r="D116" s="37" t="n">
        <v>0</v>
      </c>
      <c r="E116" s="37" t="n">
        <v>0</v>
      </c>
      <c r="F116" s="37" t="n">
        <v>0</v>
      </c>
      <c r="G116" s="37" t="n">
        <f aca="false">G108+G112</f>
        <v>278.92</v>
      </c>
      <c r="H116" s="37" t="n">
        <f aca="false">SUM(D116:G116)</f>
        <v>278.92</v>
      </c>
    </row>
    <row r="117" customFormat="false" ht="15" hidden="false" customHeight="true" outlineLevel="0" collapsed="false">
      <c r="A117" s="26" t="s">
        <v>108</v>
      </c>
      <c r="B117" s="24"/>
      <c r="C117" s="25" t="s">
        <v>109</v>
      </c>
      <c r="D117" s="27" t="n">
        <f aca="false">SUM(D118:D120)</f>
        <v>6437.86163358</v>
      </c>
      <c r="E117" s="27" t="n">
        <f aca="false">SUM(E118:E120)</f>
        <v>633.73897782</v>
      </c>
      <c r="F117" s="27" t="n">
        <f aca="false">SUM(F118:F120)</f>
        <v>2120.46038</v>
      </c>
      <c r="G117" s="27" t="n">
        <f aca="false">SUM(G118:G120)</f>
        <v>544.09879657716</v>
      </c>
      <c r="H117" s="27" t="n">
        <f aca="false">SUM(H118:H120)</f>
        <v>9736.15978797716</v>
      </c>
    </row>
    <row r="118" customFormat="false" ht="15" hidden="false" customHeight="true" outlineLevel="0" collapsed="false">
      <c r="A118" s="26"/>
      <c r="B118" s="24"/>
      <c r="C118" s="30" t="s">
        <v>41</v>
      </c>
      <c r="D118" s="37" t="n">
        <f aca="false">D101+D114</f>
        <v>2446.64004</v>
      </c>
      <c r="E118" s="37" t="n">
        <f aca="false">E101+E114</f>
        <v>431.03112</v>
      </c>
      <c r="F118" s="37" t="n">
        <f aca="false">F101+F114</f>
        <v>2070.31</v>
      </c>
      <c r="G118" s="37" t="n">
        <f aca="false">G101+G114</f>
        <v>250.5853058</v>
      </c>
      <c r="H118" s="37" t="n">
        <f aca="false">SUM(D118:G118)</f>
        <v>5198.5664658</v>
      </c>
      <c r="L118" s="57" t="n">
        <f aca="false">H118+H119+H120</f>
        <v>9736.15978797716</v>
      </c>
    </row>
    <row r="119" s="36" customFormat="true" ht="15" hidden="false" customHeight="true" outlineLevel="0" collapsed="false">
      <c r="A119" s="32"/>
      <c r="B119" s="33"/>
      <c r="C119" s="38" t="s">
        <v>42</v>
      </c>
      <c r="D119" s="35" t="n">
        <f aca="false">D102+D115</f>
        <v>-1151.44164642</v>
      </c>
      <c r="E119" s="35" t="n">
        <f aca="false">E102+E115</f>
        <v>-315.90244218</v>
      </c>
      <c r="F119" s="35" t="n">
        <f aca="false">F102+F115</f>
        <v>-2028.55962</v>
      </c>
      <c r="G119" s="35" t="n">
        <f aca="false">G102+G115</f>
        <v>-180.39061108284</v>
      </c>
      <c r="H119" s="35" t="n">
        <f aca="false">SUM(D119:G119)</f>
        <v>-3676.29431968284</v>
      </c>
    </row>
    <row r="120" customFormat="false" ht="15" hidden="false" customHeight="true" outlineLevel="0" collapsed="false">
      <c r="A120" s="26"/>
      <c r="B120" s="24"/>
      <c r="C120" s="39" t="s">
        <v>43</v>
      </c>
      <c r="D120" s="37" t="n">
        <f aca="false">D103+D116</f>
        <v>5142.66324</v>
      </c>
      <c r="E120" s="37" t="n">
        <f aca="false">E103+E116</f>
        <v>518.6103</v>
      </c>
      <c r="F120" s="37" t="n">
        <f aca="false">F103+F116</f>
        <v>2078.71</v>
      </c>
      <c r="G120" s="37" t="n">
        <f aca="false">G103+G116</f>
        <v>473.90410186</v>
      </c>
      <c r="H120" s="37" t="n">
        <f aca="false">SUM(D120:G120)</f>
        <v>8213.88764186</v>
      </c>
    </row>
    <row r="121" customFormat="false" ht="60.75" hidden="false" customHeight="true" outlineLevel="0" collapsed="false">
      <c r="A121" s="26"/>
      <c r="B121" s="24"/>
      <c r="C121" s="25" t="s">
        <v>110</v>
      </c>
      <c r="D121" s="25"/>
      <c r="E121" s="25"/>
      <c r="F121" s="25"/>
      <c r="G121" s="25"/>
      <c r="H121" s="25"/>
    </row>
    <row r="122" customFormat="false" ht="29.25" hidden="false" customHeight="true" outlineLevel="0" collapsed="false">
      <c r="A122" s="26" t="s">
        <v>111</v>
      </c>
      <c r="B122" s="56"/>
      <c r="C122" s="63" t="s">
        <v>112</v>
      </c>
      <c r="D122" s="27" t="n">
        <f aca="false">SUM(D123:D131)</f>
        <v>0</v>
      </c>
      <c r="E122" s="27" t="n">
        <f aca="false">SUM(E123:E131)</f>
        <v>0</v>
      </c>
      <c r="F122" s="27" t="n">
        <f aca="false">SUM(F123:F131)</f>
        <v>0</v>
      </c>
      <c r="G122" s="27" t="n">
        <f aca="false">SUM(G123:G125)</f>
        <v>1927.67458603312</v>
      </c>
      <c r="H122" s="27" t="n">
        <f aca="false">SUM(H123:H125)</f>
        <v>1927.67458603312</v>
      </c>
    </row>
    <row r="123" customFormat="false" ht="101.25" hidden="false" customHeight="true" outlineLevel="0" collapsed="false">
      <c r="A123" s="26"/>
      <c r="B123" s="56" t="s">
        <v>113</v>
      </c>
      <c r="C123" s="30" t="s">
        <v>114</v>
      </c>
      <c r="D123" s="31" t="n">
        <v>0</v>
      </c>
      <c r="E123" s="31" t="n">
        <v>0</v>
      </c>
      <c r="F123" s="31" t="n">
        <v>0</v>
      </c>
      <c r="G123" s="31" t="n">
        <f aca="false">3639.12/3.699</f>
        <v>983.811841038119</v>
      </c>
      <c r="H123" s="31" t="n">
        <f aca="false">SUM(D123:G123)</f>
        <v>983.811841038119</v>
      </c>
    </row>
    <row r="124" s="36" customFormat="true" ht="85.5" hidden="false" customHeight="true" outlineLevel="0" collapsed="false">
      <c r="A124" s="32"/>
      <c r="B124" s="64" t="s">
        <v>113</v>
      </c>
      <c r="C124" s="38" t="s">
        <v>115</v>
      </c>
      <c r="D124" s="54" t="n">
        <v>0</v>
      </c>
      <c r="E124" s="54" t="n">
        <v>0</v>
      </c>
      <c r="F124" s="54" t="n">
        <v>0</v>
      </c>
      <c r="G124" s="54" t="n">
        <f aca="false">-3639.12/3.699</f>
        <v>-983.811841038119</v>
      </c>
      <c r="H124" s="54" t="n">
        <f aca="false">SUM(D124:G124)</f>
        <v>-983.811841038119</v>
      </c>
    </row>
    <row r="125" customFormat="false" ht="13.5" hidden="false" customHeight="true" outlineLevel="0" collapsed="false">
      <c r="A125" s="26"/>
      <c r="B125" s="56"/>
      <c r="C125" s="39" t="s">
        <v>116</v>
      </c>
      <c r="D125" s="37" t="n">
        <v>0</v>
      </c>
      <c r="E125" s="37" t="n">
        <v>0</v>
      </c>
      <c r="F125" s="37" t="n">
        <v>0</v>
      </c>
      <c r="G125" s="37" t="n">
        <f aca="false">SUM(G127:G131)</f>
        <v>1927.67458603312</v>
      </c>
      <c r="H125" s="37" t="n">
        <f aca="false">SUM(H127:H131)</f>
        <v>1927.67458603312</v>
      </c>
    </row>
    <row r="126" customFormat="false" ht="13.5" hidden="false" customHeight="true" outlineLevel="0" collapsed="false">
      <c r="A126" s="26"/>
      <c r="B126" s="56"/>
      <c r="C126" s="39" t="s">
        <v>117</v>
      </c>
      <c r="D126" s="37"/>
      <c r="E126" s="37"/>
      <c r="F126" s="37"/>
      <c r="G126" s="37"/>
      <c r="H126" s="53"/>
    </row>
    <row r="127" customFormat="false" ht="13.5" hidden="false" customHeight="true" outlineLevel="0" collapsed="false">
      <c r="A127" s="26"/>
      <c r="B127" s="56" t="s">
        <v>118</v>
      </c>
      <c r="C127" s="39" t="s">
        <v>119</v>
      </c>
      <c r="D127" s="37" t="n">
        <v>0</v>
      </c>
      <c r="E127" s="37" t="n">
        <v>0</v>
      </c>
      <c r="F127" s="37" t="n">
        <v>0</v>
      </c>
      <c r="G127" s="37" t="n">
        <f aca="false">6330.27/5.556</f>
        <v>1139.35745140389</v>
      </c>
      <c r="H127" s="53" t="n">
        <f aca="false">SUM(D127:G127)</f>
        <v>1139.35745140389</v>
      </c>
    </row>
    <row r="128" customFormat="false" ht="13.5" hidden="false" customHeight="true" outlineLevel="0" collapsed="false">
      <c r="A128" s="26"/>
      <c r="B128" s="56" t="s">
        <v>120</v>
      </c>
      <c r="C128" s="39" t="s">
        <v>121</v>
      </c>
      <c r="D128" s="37" t="n">
        <v>0</v>
      </c>
      <c r="E128" s="37" t="n">
        <v>0</v>
      </c>
      <c r="F128" s="37" t="n">
        <v>0</v>
      </c>
      <c r="G128" s="37" t="n">
        <f aca="false">3393.05/5.556</f>
        <v>610.700143988481</v>
      </c>
      <c r="H128" s="53" t="n">
        <f aca="false">SUM(D128:G128)</f>
        <v>610.700143988481</v>
      </c>
    </row>
    <row r="129" customFormat="false" ht="13.5" hidden="false" customHeight="true" outlineLevel="0" collapsed="false">
      <c r="A129" s="26"/>
      <c r="B129" s="56" t="s">
        <v>122</v>
      </c>
      <c r="C129" s="39" t="s">
        <v>123</v>
      </c>
      <c r="D129" s="37" t="n">
        <v>0</v>
      </c>
      <c r="E129" s="37" t="n">
        <v>0</v>
      </c>
      <c r="F129" s="37" t="n">
        <v>0</v>
      </c>
      <c r="G129" s="37" t="n">
        <f aca="false">100.18/5.556</f>
        <v>18.0309575233981</v>
      </c>
      <c r="H129" s="53" t="n">
        <f aca="false">SUM(D129:G129)</f>
        <v>18.0309575233981</v>
      </c>
    </row>
    <row r="130" customFormat="false" ht="51" hidden="false" customHeight="true" outlineLevel="0" collapsed="false">
      <c r="A130" s="26"/>
      <c r="B130" s="56" t="s">
        <v>124</v>
      </c>
      <c r="C130" s="39" t="s">
        <v>125</v>
      </c>
      <c r="D130" s="37" t="n">
        <v>0</v>
      </c>
      <c r="E130" s="37" t="n">
        <v>0</v>
      </c>
      <c r="F130" s="37" t="n">
        <v>0</v>
      </c>
      <c r="G130" s="37" t="n">
        <f aca="false">441.08/5.556</f>
        <v>79.3880489560835</v>
      </c>
      <c r="H130" s="53" t="n">
        <f aca="false">SUM(D130:G130)</f>
        <v>79.3880489560835</v>
      </c>
    </row>
    <row r="131" customFormat="false" ht="53.25" hidden="false" customHeight="true" outlineLevel="0" collapsed="false">
      <c r="A131" s="26"/>
      <c r="B131" s="56" t="s">
        <v>126</v>
      </c>
      <c r="C131" s="39" t="s">
        <v>127</v>
      </c>
      <c r="D131" s="37" t="n">
        <v>0</v>
      </c>
      <c r="E131" s="37" t="n">
        <v>0</v>
      </c>
      <c r="F131" s="37" t="n">
        <v>0</v>
      </c>
      <c r="G131" s="37" t="n">
        <f aca="false">445.58/5.556</f>
        <v>80.1979841612671</v>
      </c>
      <c r="H131" s="53" t="n">
        <f aca="false">SUM(D131:G131)</f>
        <v>80.1979841612671</v>
      </c>
    </row>
    <row r="132" customFormat="false" ht="13.5" hidden="false" customHeight="true" outlineLevel="0" collapsed="false">
      <c r="A132" s="26" t="s">
        <v>128</v>
      </c>
      <c r="B132" s="56"/>
      <c r="C132" s="63" t="s">
        <v>129</v>
      </c>
      <c r="D132" s="27" t="n">
        <f aca="false">SUM(D133:D135)</f>
        <v>0</v>
      </c>
      <c r="E132" s="27" t="n">
        <f aca="false">SUM(E133:E135)</f>
        <v>0</v>
      </c>
      <c r="F132" s="27" t="n">
        <f aca="false">SUM(F133:F135)</f>
        <v>0</v>
      </c>
      <c r="G132" s="27" t="n">
        <f aca="false">SUM(G133:G135)</f>
        <v>231.974442044636</v>
      </c>
      <c r="H132" s="27" t="n">
        <f aca="false">SUM(H133:H135)</f>
        <v>231.974442044636</v>
      </c>
    </row>
    <row r="133" customFormat="false" ht="74.25" hidden="false" customHeight="true" outlineLevel="0" collapsed="false">
      <c r="A133" s="26"/>
      <c r="B133" s="56" t="s">
        <v>113</v>
      </c>
      <c r="C133" s="30" t="s">
        <v>114</v>
      </c>
      <c r="D133" s="31" t="n">
        <v>0</v>
      </c>
      <c r="E133" s="31" t="n">
        <v>0</v>
      </c>
      <c r="F133" s="31" t="n">
        <v>0</v>
      </c>
      <c r="G133" s="31" t="n">
        <f aca="false">261.42/3.699</f>
        <v>70.6731549067316</v>
      </c>
      <c r="H133" s="31" t="n">
        <f aca="false">SUM(D133:G133)</f>
        <v>70.6731549067316</v>
      </c>
    </row>
    <row r="134" s="36" customFormat="true" ht="73.5" hidden="false" customHeight="true" outlineLevel="0" collapsed="false">
      <c r="A134" s="32"/>
      <c r="B134" s="64" t="s">
        <v>113</v>
      </c>
      <c r="C134" s="38" t="s">
        <v>115</v>
      </c>
      <c r="D134" s="54" t="n">
        <v>0</v>
      </c>
      <c r="E134" s="54" t="n">
        <v>0</v>
      </c>
      <c r="F134" s="54" t="n">
        <v>0</v>
      </c>
      <c r="G134" s="54" t="n">
        <f aca="false">-261.42/3.699</f>
        <v>-70.6731549067316</v>
      </c>
      <c r="H134" s="54" t="n">
        <f aca="false">SUM(D134:G134)</f>
        <v>-70.6731549067316</v>
      </c>
    </row>
    <row r="135" customFormat="false" ht="13.5" hidden="false" customHeight="true" outlineLevel="0" collapsed="false">
      <c r="A135" s="26"/>
      <c r="B135" s="56"/>
      <c r="C135" s="39" t="s">
        <v>116</v>
      </c>
      <c r="D135" s="37" t="n">
        <v>0</v>
      </c>
      <c r="E135" s="37" t="n">
        <v>0</v>
      </c>
      <c r="F135" s="37" t="n">
        <v>0</v>
      </c>
      <c r="G135" s="37" t="n">
        <f aca="false">SUM(G137:G139)</f>
        <v>231.974442044636</v>
      </c>
      <c r="H135" s="53" t="n">
        <f aca="false">SUM(D135:G135)</f>
        <v>231.974442044636</v>
      </c>
    </row>
    <row r="136" customFormat="false" ht="13.5" hidden="false" customHeight="true" outlineLevel="0" collapsed="false">
      <c r="A136" s="26"/>
      <c r="B136" s="56"/>
      <c r="C136" s="39" t="s">
        <v>117</v>
      </c>
      <c r="D136" s="37"/>
      <c r="E136" s="37"/>
      <c r="F136" s="37"/>
      <c r="G136" s="37"/>
      <c r="H136" s="53"/>
    </row>
    <row r="137" customFormat="false" ht="13.5" hidden="false" customHeight="true" outlineLevel="0" collapsed="false">
      <c r="A137" s="26"/>
      <c r="B137" s="56" t="s">
        <v>130</v>
      </c>
      <c r="C137" s="39" t="s">
        <v>131</v>
      </c>
      <c r="D137" s="37" t="n">
        <v>0</v>
      </c>
      <c r="E137" s="37" t="n">
        <v>0</v>
      </c>
      <c r="F137" s="37" t="n">
        <v>0</v>
      </c>
      <c r="G137" s="37" t="n">
        <f aca="false">33.97/5.556</f>
        <v>6.11411087113031</v>
      </c>
      <c r="H137" s="53" t="n">
        <f aca="false">SUM(D137:G137)</f>
        <v>6.11411087113031</v>
      </c>
    </row>
    <row r="138" customFormat="false" ht="13.5" hidden="false" customHeight="true" outlineLevel="0" collapsed="false">
      <c r="A138" s="26"/>
      <c r="B138" s="56" t="s">
        <v>132</v>
      </c>
      <c r="C138" s="39" t="s">
        <v>133</v>
      </c>
      <c r="D138" s="37" t="n">
        <v>0</v>
      </c>
      <c r="E138" s="37" t="n">
        <v>0</v>
      </c>
      <c r="F138" s="37" t="n">
        <v>0</v>
      </c>
      <c r="G138" s="37" t="n">
        <f aca="false">19.09/5.556</f>
        <v>3.43592512598992</v>
      </c>
      <c r="H138" s="53" t="n">
        <f aca="false">SUM(D138:G138)</f>
        <v>3.43592512598992</v>
      </c>
    </row>
    <row r="139" customFormat="false" ht="13.5" hidden="false" customHeight="true" outlineLevel="0" collapsed="false">
      <c r="A139" s="26"/>
      <c r="B139" s="56" t="s">
        <v>134</v>
      </c>
      <c r="C139" s="39" t="s">
        <v>135</v>
      </c>
      <c r="D139" s="37" t="n">
        <v>0</v>
      </c>
      <c r="E139" s="37" t="n">
        <v>0</v>
      </c>
      <c r="F139" s="37" t="n">
        <v>0</v>
      </c>
      <c r="G139" s="37" t="n">
        <f aca="false">1235.79/5.556</f>
        <v>222.424406047516</v>
      </c>
      <c r="H139" s="53" t="n">
        <f aca="false">SUM(D139:G139)</f>
        <v>222.424406047516</v>
      </c>
    </row>
    <row r="140" customFormat="false" ht="31.5" hidden="false" customHeight="true" outlineLevel="0" collapsed="false">
      <c r="A140" s="26" t="s">
        <v>136</v>
      </c>
      <c r="B140" s="52"/>
      <c r="C140" s="65" t="s">
        <v>137</v>
      </c>
      <c r="D140" s="27" t="n">
        <f aca="false">SUM(D141:D143)</f>
        <v>0</v>
      </c>
      <c r="E140" s="27" t="n">
        <f aca="false">SUM(E141:E143)</f>
        <v>0</v>
      </c>
      <c r="F140" s="27" t="n">
        <f aca="false">SUM(F141:F143)</f>
        <v>0</v>
      </c>
      <c r="G140" s="27" t="n">
        <f aca="false">SUM(G141:G143)</f>
        <v>229.007740820734</v>
      </c>
      <c r="H140" s="27" t="n">
        <f aca="false">SUM(H141:H143)</f>
        <v>229.007740820734</v>
      </c>
    </row>
    <row r="141" customFormat="false" ht="15" hidden="false" customHeight="true" outlineLevel="0" collapsed="false">
      <c r="A141" s="26"/>
      <c r="B141" s="52" t="s">
        <v>138</v>
      </c>
      <c r="C141" s="30" t="s">
        <v>41</v>
      </c>
      <c r="D141" s="37" t="n">
        <v>0</v>
      </c>
      <c r="E141" s="37" t="n">
        <v>0</v>
      </c>
      <c r="F141" s="37" t="n">
        <v>0</v>
      </c>
      <c r="G141" s="37" t="n">
        <v>189.67</v>
      </c>
      <c r="H141" s="37" t="n">
        <f aca="false">SUM(D141:G141)</f>
        <v>189.67</v>
      </c>
    </row>
    <row r="142" customFormat="false" ht="15" hidden="false" customHeight="true" outlineLevel="0" collapsed="false">
      <c r="A142" s="26"/>
      <c r="B142" s="34" t="s">
        <v>138</v>
      </c>
      <c r="C142" s="38" t="s">
        <v>42</v>
      </c>
      <c r="D142" s="35" t="n">
        <v>0</v>
      </c>
      <c r="E142" s="35" t="n">
        <v>0</v>
      </c>
      <c r="F142" s="35" t="n">
        <v>0</v>
      </c>
      <c r="G142" s="35" t="n">
        <v>-189.67</v>
      </c>
      <c r="H142" s="35" t="n">
        <f aca="false">SUM(D142:G142)</f>
        <v>-189.67</v>
      </c>
    </row>
    <row r="143" customFormat="false" ht="48.75" hidden="false" customHeight="true" outlineLevel="0" collapsed="false">
      <c r="A143" s="26"/>
      <c r="B143" s="52" t="s">
        <v>139</v>
      </c>
      <c r="C143" s="30" t="s">
        <v>140</v>
      </c>
      <c r="D143" s="37" t="n">
        <v>0</v>
      </c>
      <c r="E143" s="37" t="n">
        <v>0</v>
      </c>
      <c r="F143" s="37" t="n">
        <v>0</v>
      </c>
      <c r="G143" s="37" t="n">
        <f aca="false">G125*0.1188</f>
        <v>229.007740820734</v>
      </c>
      <c r="H143" s="37" t="n">
        <f aca="false">SUM(D143:G143)</f>
        <v>229.007740820734</v>
      </c>
    </row>
    <row r="144" customFormat="false" ht="24.75" hidden="false" customHeight="true" outlineLevel="0" collapsed="false">
      <c r="A144" s="26" t="s">
        <v>141</v>
      </c>
      <c r="B144" s="52"/>
      <c r="C144" s="65" t="s">
        <v>142</v>
      </c>
      <c r="D144" s="27" t="n">
        <f aca="false">SUM(D145:D147)</f>
        <v>0</v>
      </c>
      <c r="E144" s="27" t="n">
        <f aca="false">SUM(E145:E147)</f>
        <v>0</v>
      </c>
      <c r="F144" s="27" t="n">
        <f aca="false">SUM(F145:F147)</f>
        <v>0</v>
      </c>
      <c r="G144" s="27" t="n">
        <f aca="false">SUM(G145:G147)</f>
        <v>77.1543415298776</v>
      </c>
      <c r="H144" s="27" t="n">
        <f aca="false">SUM(H145:H147)</f>
        <v>77.1543415298776</v>
      </c>
    </row>
    <row r="145" customFormat="false" ht="65.25" hidden="false" customHeight="true" outlineLevel="0" collapsed="false">
      <c r="A145" s="26"/>
      <c r="B145" s="56" t="s">
        <v>143</v>
      </c>
      <c r="C145" s="30" t="s">
        <v>144</v>
      </c>
      <c r="D145" s="37" t="n">
        <v>0</v>
      </c>
      <c r="E145" s="37" t="n">
        <v>0</v>
      </c>
      <c r="F145" s="37" t="n">
        <v>0</v>
      </c>
      <c r="G145" s="37" t="n">
        <f aca="false">983.81*2.65%</f>
        <v>26.070965</v>
      </c>
      <c r="H145" s="37" t="n">
        <f aca="false">SUM(D145:G145)</f>
        <v>26.070965</v>
      </c>
    </row>
    <row r="146" s="36" customFormat="true" ht="18" hidden="false" customHeight="true" outlineLevel="0" collapsed="false">
      <c r="A146" s="32"/>
      <c r="B146" s="66"/>
      <c r="C146" s="38" t="s">
        <v>42</v>
      </c>
      <c r="D146" s="35" t="n">
        <v>0</v>
      </c>
      <c r="E146" s="35" t="n">
        <v>0</v>
      </c>
      <c r="F146" s="35" t="n">
        <v>0</v>
      </c>
      <c r="G146" s="35" t="n">
        <v>0</v>
      </c>
      <c r="H146" s="35" t="n">
        <f aca="false">SUM(D146:G146)</f>
        <v>0</v>
      </c>
    </row>
    <row r="147" customFormat="false" ht="62.25" hidden="false" customHeight="true" outlineLevel="0" collapsed="false">
      <c r="A147" s="26"/>
      <c r="B147" s="56" t="s">
        <v>145</v>
      </c>
      <c r="C147" s="39" t="s">
        <v>146</v>
      </c>
      <c r="D147" s="37" t="n">
        <v>0</v>
      </c>
      <c r="E147" s="37" t="n">
        <v>0</v>
      </c>
      <c r="F147" s="37" t="n">
        <v>0</v>
      </c>
      <c r="G147" s="37" t="n">
        <f aca="false">G125*0.0265</f>
        <v>51.0833765298776</v>
      </c>
      <c r="H147" s="37" t="n">
        <f aca="false">SUM(D147:G147)</f>
        <v>51.0833765298776</v>
      </c>
    </row>
    <row r="148" customFormat="false" ht="24.75" hidden="false" customHeight="true" outlineLevel="0" collapsed="false">
      <c r="A148" s="26" t="s">
        <v>147</v>
      </c>
      <c r="B148" s="56"/>
      <c r="C148" s="65" t="s">
        <v>148</v>
      </c>
      <c r="D148" s="37"/>
      <c r="E148" s="37"/>
      <c r="F148" s="37"/>
      <c r="G148" s="37"/>
      <c r="H148" s="37"/>
    </row>
    <row r="149" customFormat="false" ht="44.25" hidden="false" customHeight="true" outlineLevel="0" collapsed="false">
      <c r="A149" s="26"/>
      <c r="B149" s="56" t="s">
        <v>149</v>
      </c>
      <c r="C149" s="30" t="s">
        <v>150</v>
      </c>
      <c r="D149" s="37" t="n">
        <v>0</v>
      </c>
      <c r="E149" s="37" t="n">
        <v>0</v>
      </c>
      <c r="F149" s="37" t="n">
        <v>0</v>
      </c>
      <c r="G149" s="37" t="n">
        <f aca="false">ROUND((D101+E101+F101+G101)*0.15%,2)</f>
        <v>7.53</v>
      </c>
      <c r="H149" s="37" t="n">
        <f aca="false">SUM(D149:G149)</f>
        <v>7.53</v>
      </c>
    </row>
    <row r="150" customFormat="false" ht="24" hidden="false" customHeight="true" outlineLevel="0" collapsed="false">
      <c r="A150" s="26"/>
      <c r="B150" s="56"/>
      <c r="C150" s="38" t="s">
        <v>42</v>
      </c>
      <c r="D150" s="35" t="n">
        <v>0</v>
      </c>
      <c r="E150" s="35" t="n">
        <v>0</v>
      </c>
      <c r="F150" s="35" t="n">
        <v>0</v>
      </c>
      <c r="G150" s="35" t="n">
        <f aca="false">ROUND((D102+E102+F102+G102)*0.15%,2)</f>
        <v>-5.33</v>
      </c>
      <c r="H150" s="35" t="n">
        <f aca="false">SUM(D150:G150)</f>
        <v>-5.33</v>
      </c>
    </row>
    <row r="151" customFormat="false" ht="24" hidden="false" customHeight="true" outlineLevel="0" collapsed="false">
      <c r="A151" s="26"/>
      <c r="B151" s="56"/>
      <c r="C151" s="39" t="s">
        <v>43</v>
      </c>
      <c r="D151" s="37" t="n">
        <v>0</v>
      </c>
      <c r="E151" s="37" t="n">
        <v>0</v>
      </c>
      <c r="F151" s="37" t="n">
        <v>0</v>
      </c>
      <c r="G151" s="37" t="n">
        <f aca="false">ROUND((D103+E103+F103+G103)*0.15%,2)</f>
        <v>11.9</v>
      </c>
      <c r="H151" s="37" t="n">
        <f aca="false">SUM(D151:G151)</f>
        <v>11.9</v>
      </c>
    </row>
    <row r="152" customFormat="false" ht="15" hidden="false" customHeight="true" outlineLevel="0" collapsed="false">
      <c r="A152" s="26" t="s">
        <v>151</v>
      </c>
      <c r="B152" s="67"/>
      <c r="C152" s="25" t="s">
        <v>152</v>
      </c>
      <c r="D152" s="27" t="n">
        <f aca="false">SUM(D153:D155)</f>
        <v>0</v>
      </c>
      <c r="E152" s="27" t="n">
        <f aca="false">SUM(E153:E155)</f>
        <v>0</v>
      </c>
      <c r="F152" s="27" t="n">
        <f aca="false">SUM(F153:F155)</f>
        <v>0</v>
      </c>
      <c r="G152" s="27" t="n">
        <f aca="false">SUM(G153:G155)</f>
        <v>2479.91111042837</v>
      </c>
      <c r="H152" s="27" t="n">
        <f aca="false">SUM(H153:H155)</f>
        <v>2479.91111042837</v>
      </c>
    </row>
    <row r="153" customFormat="false" ht="15" hidden="false" customHeight="true" outlineLevel="0" collapsed="false">
      <c r="A153" s="26"/>
      <c r="B153" s="67"/>
      <c r="C153" s="30" t="s">
        <v>41</v>
      </c>
      <c r="D153" s="37" t="n">
        <f aca="false">D123+D133+D141+D145+D149</f>
        <v>0</v>
      </c>
      <c r="E153" s="37" t="n">
        <f aca="false">E123+E133+E141+E145+E149</f>
        <v>0</v>
      </c>
      <c r="F153" s="37" t="n">
        <f aca="false">F123+F133+F141+F145+F149</f>
        <v>0</v>
      </c>
      <c r="G153" s="37" t="n">
        <f aca="false">G123+G133+G141+G145+G149</f>
        <v>1277.75596094485</v>
      </c>
      <c r="H153" s="37" t="n">
        <f aca="false">D153+E153+F153+G153</f>
        <v>1277.75596094485</v>
      </c>
    </row>
    <row r="154" s="36" customFormat="true" ht="15" hidden="false" customHeight="true" outlineLevel="0" collapsed="false">
      <c r="A154" s="32"/>
      <c r="B154" s="68"/>
      <c r="C154" s="38" t="s">
        <v>42</v>
      </c>
      <c r="D154" s="35" t="n">
        <f aca="false">D124+D134+D142+D146+D150</f>
        <v>0</v>
      </c>
      <c r="E154" s="35" t="n">
        <f aca="false">E124+E134+E142+E146+E150</f>
        <v>0</v>
      </c>
      <c r="F154" s="35" t="n">
        <f aca="false">F124+F134+F142+F146+F150</f>
        <v>0</v>
      </c>
      <c r="G154" s="35" t="n">
        <f aca="false">G124+G134+G142+G146+G150</f>
        <v>-1249.48499594485</v>
      </c>
      <c r="H154" s="35" t="n">
        <f aca="false">D154+E154+F154+G154</f>
        <v>-1249.48499594485</v>
      </c>
    </row>
    <row r="155" customFormat="false" ht="15" hidden="false" customHeight="true" outlineLevel="0" collapsed="false">
      <c r="A155" s="26"/>
      <c r="B155" s="67"/>
      <c r="C155" s="39" t="s">
        <v>43</v>
      </c>
      <c r="D155" s="37" t="n">
        <f aca="false">D125+D135+D143+D147+D151</f>
        <v>0</v>
      </c>
      <c r="E155" s="37" t="n">
        <f aca="false">E125+E135+E143+E147+E151</f>
        <v>0</v>
      </c>
      <c r="F155" s="37" t="n">
        <f aca="false">F125+F135+F143+F147+F151</f>
        <v>0</v>
      </c>
      <c r="G155" s="37" t="n">
        <f aca="false">G125+G135+G143+G147+G151</f>
        <v>2451.64014542837</v>
      </c>
      <c r="H155" s="37" t="n">
        <f aca="false">D155+E155+F155+G155</f>
        <v>2451.64014542837</v>
      </c>
    </row>
    <row r="156" customFormat="false" ht="15" hidden="false" customHeight="true" outlineLevel="0" collapsed="false">
      <c r="A156" s="26" t="s">
        <v>153</v>
      </c>
      <c r="B156" s="52"/>
      <c r="C156" s="69" t="s">
        <v>154</v>
      </c>
      <c r="D156" s="27" t="n">
        <f aca="false">SUM(D157:D159)</f>
        <v>6437.86163358</v>
      </c>
      <c r="E156" s="27" t="n">
        <f aca="false">SUM(E157:E159)</f>
        <v>633.73897782</v>
      </c>
      <c r="F156" s="27" t="n">
        <f aca="false">SUM(F157:F159)</f>
        <v>2120.46038</v>
      </c>
      <c r="G156" s="27" t="n">
        <f aca="false">SUM(G157:G159)</f>
        <v>3024.00990700553</v>
      </c>
      <c r="H156" s="27" t="n">
        <f aca="false">SUM(D156:G156)</f>
        <v>12216.0708984055</v>
      </c>
    </row>
    <row r="157" customFormat="false" ht="15" hidden="false" customHeight="true" outlineLevel="0" collapsed="false">
      <c r="A157" s="26"/>
      <c r="B157" s="52"/>
      <c r="C157" s="30" t="s">
        <v>41</v>
      </c>
      <c r="D157" s="37" t="n">
        <f aca="false">D118+D153</f>
        <v>2446.64004</v>
      </c>
      <c r="E157" s="37" t="n">
        <f aca="false">E118+E153</f>
        <v>431.03112</v>
      </c>
      <c r="F157" s="37" t="n">
        <f aca="false">F118+F153</f>
        <v>2070.31</v>
      </c>
      <c r="G157" s="37" t="n">
        <f aca="false">G118+G153</f>
        <v>1528.34126674485</v>
      </c>
      <c r="H157" s="37" t="n">
        <f aca="false">H118+H153</f>
        <v>6476.32242674485</v>
      </c>
    </row>
    <row r="158" s="36" customFormat="true" ht="15" hidden="false" customHeight="true" outlineLevel="0" collapsed="false">
      <c r="A158" s="32"/>
      <c r="B158" s="66"/>
      <c r="C158" s="38" t="s">
        <v>42</v>
      </c>
      <c r="D158" s="35" t="n">
        <f aca="false">D119+D154</f>
        <v>-1151.44164642</v>
      </c>
      <c r="E158" s="35" t="n">
        <f aca="false">E119+E154</f>
        <v>-315.90244218</v>
      </c>
      <c r="F158" s="35" t="n">
        <f aca="false">F119+F154</f>
        <v>-2028.55962</v>
      </c>
      <c r="G158" s="35" t="n">
        <f aca="false">G119+G154</f>
        <v>-1429.87560702769</v>
      </c>
      <c r="H158" s="35" t="n">
        <f aca="false">H119+H154</f>
        <v>-4925.77931562769</v>
      </c>
    </row>
    <row r="159" customFormat="false" ht="15" hidden="false" customHeight="true" outlineLevel="0" collapsed="false">
      <c r="A159" s="26"/>
      <c r="B159" s="52"/>
      <c r="C159" s="39" t="s">
        <v>43</v>
      </c>
      <c r="D159" s="37" t="n">
        <f aca="false">D120+D155</f>
        <v>5142.66324</v>
      </c>
      <c r="E159" s="37" t="n">
        <f aca="false">E120+E155</f>
        <v>518.6103</v>
      </c>
      <c r="F159" s="37" t="n">
        <f aca="false">F120+F155</f>
        <v>2078.71</v>
      </c>
      <c r="G159" s="37" t="n">
        <f aca="false">G120+G155</f>
        <v>2925.54424728837</v>
      </c>
      <c r="H159" s="37" t="n">
        <f aca="false">H120+H155</f>
        <v>10665.5277872884</v>
      </c>
    </row>
    <row r="160" customFormat="false" ht="54" hidden="false" customHeight="true" outlineLevel="0" collapsed="false">
      <c r="A160" s="26" t="s">
        <v>155</v>
      </c>
      <c r="B160" s="52" t="s">
        <v>156</v>
      </c>
      <c r="C160" s="28" t="s">
        <v>157</v>
      </c>
      <c r="D160" s="37" t="n">
        <f aca="false">SUM(D161:D163)</f>
        <v>128.7572326716</v>
      </c>
      <c r="E160" s="37" t="n">
        <f aca="false">SUM(E161:E163)</f>
        <v>12.6747795564</v>
      </c>
      <c r="F160" s="37" t="n">
        <f aca="false">SUM(F161:F163)</f>
        <v>42.4092076</v>
      </c>
      <c r="G160" s="37" t="n">
        <f aca="false">SUM(G161:G163)</f>
        <v>60.4801981401105</v>
      </c>
      <c r="H160" s="37" t="n">
        <f aca="false">SUM(H161:H163)</f>
        <v>244.321417968111</v>
      </c>
    </row>
    <row r="161" customFormat="false" ht="17.25" hidden="false" customHeight="true" outlineLevel="0" collapsed="false">
      <c r="A161" s="26"/>
      <c r="B161" s="52"/>
      <c r="C161" s="30" t="s">
        <v>41</v>
      </c>
      <c r="D161" s="37" t="n">
        <f aca="false">D157*2/100</f>
        <v>48.9328008</v>
      </c>
      <c r="E161" s="37" t="n">
        <f aca="false">E157*2/100</f>
        <v>8.6206224</v>
      </c>
      <c r="F161" s="37" t="n">
        <f aca="false">F157*2/100</f>
        <v>41.4062</v>
      </c>
      <c r="G161" s="37" t="n">
        <f aca="false">G157*2/100</f>
        <v>30.566825334897</v>
      </c>
      <c r="H161" s="37" t="n">
        <f aca="false">SUM(D161:G161)</f>
        <v>129.526448534897</v>
      </c>
    </row>
    <row r="162" s="36" customFormat="true" ht="18" hidden="false" customHeight="true" outlineLevel="0" collapsed="false">
      <c r="A162" s="32"/>
      <c r="B162" s="66"/>
      <c r="C162" s="38" t="s">
        <v>42</v>
      </c>
      <c r="D162" s="35" t="n">
        <f aca="false">D158*2/100</f>
        <v>-23.0288329284</v>
      </c>
      <c r="E162" s="35" t="n">
        <f aca="false">E158*2/100</f>
        <v>-6.3180488436</v>
      </c>
      <c r="F162" s="35" t="n">
        <f aca="false">F158*2/100</f>
        <v>-40.5711924</v>
      </c>
      <c r="G162" s="35" t="n">
        <f aca="false">G158*2/100</f>
        <v>-28.5975121405538</v>
      </c>
      <c r="H162" s="35" t="n">
        <f aca="false">SUM(D162:G162)</f>
        <v>-98.5155863125538</v>
      </c>
    </row>
    <row r="163" customFormat="false" ht="13.5" hidden="false" customHeight="true" outlineLevel="0" collapsed="false">
      <c r="A163" s="26"/>
      <c r="B163" s="52"/>
      <c r="C163" s="39" t="s">
        <v>43</v>
      </c>
      <c r="D163" s="37" t="n">
        <f aca="false">D159*2/100</f>
        <v>102.8532648</v>
      </c>
      <c r="E163" s="37" t="n">
        <f aca="false">E159*2/100</f>
        <v>10.372206</v>
      </c>
      <c r="F163" s="37" t="n">
        <f aca="false">F159*2/100</f>
        <v>41.5742</v>
      </c>
      <c r="G163" s="37" t="n">
        <f aca="false">G159*2/100</f>
        <v>58.5108849457673</v>
      </c>
      <c r="H163" s="37" t="n">
        <f aca="false">SUM(D163:G163)</f>
        <v>213.310555745767</v>
      </c>
    </row>
    <row r="164" customFormat="false" ht="28.5" hidden="false" customHeight="true" outlineLevel="0" collapsed="false">
      <c r="A164" s="26" t="s">
        <v>158</v>
      </c>
      <c r="B164" s="51"/>
      <c r="C164" s="65" t="s">
        <v>159</v>
      </c>
      <c r="D164" s="27" t="n">
        <f aca="false">SUM(D165:D167)</f>
        <v>6566.6188662516</v>
      </c>
      <c r="E164" s="27" t="n">
        <f aca="false">SUM(E165:E167)</f>
        <v>646.4137573764</v>
      </c>
      <c r="F164" s="27" t="n">
        <f aca="false">SUM(F165:F167)</f>
        <v>2162.8695876</v>
      </c>
      <c r="G164" s="27" t="n">
        <f aca="false">SUM(G165:G167)</f>
        <v>3084.49010514564</v>
      </c>
      <c r="H164" s="27" t="n">
        <f aca="false">SUM(H165:H167)</f>
        <v>12460.3923163736</v>
      </c>
    </row>
    <row r="165" customFormat="false" ht="15" hidden="false" customHeight="true" outlineLevel="0" collapsed="false">
      <c r="A165" s="26"/>
      <c r="B165" s="51"/>
      <c r="C165" s="30" t="s">
        <v>41</v>
      </c>
      <c r="D165" s="37" t="n">
        <f aca="false">D157+D161</f>
        <v>2495.5728408</v>
      </c>
      <c r="E165" s="37" t="n">
        <f aca="false">E157+E161</f>
        <v>439.6517424</v>
      </c>
      <c r="F165" s="37" t="n">
        <f aca="false">F157+F161</f>
        <v>2111.7162</v>
      </c>
      <c r="G165" s="37" t="n">
        <f aca="false">G157+G161</f>
        <v>1558.90809207975</v>
      </c>
      <c r="H165" s="37" t="n">
        <f aca="false">SUM(D165:G165)</f>
        <v>6605.84887527975</v>
      </c>
    </row>
    <row r="166" s="36" customFormat="true" ht="15" hidden="false" customHeight="true" outlineLevel="0" collapsed="false">
      <c r="A166" s="32"/>
      <c r="B166" s="70"/>
      <c r="C166" s="38" t="s">
        <v>42</v>
      </c>
      <c r="D166" s="35" t="n">
        <f aca="false">D158+D162</f>
        <v>-1174.4704793484</v>
      </c>
      <c r="E166" s="35" t="n">
        <f aca="false">E158+E162</f>
        <v>-322.2204910236</v>
      </c>
      <c r="F166" s="35" t="n">
        <f aca="false">F158+F162</f>
        <v>-2069.1308124</v>
      </c>
      <c r="G166" s="35" t="n">
        <f aca="false">G158+G162</f>
        <v>-1458.47311916824</v>
      </c>
      <c r="H166" s="35" t="n">
        <f aca="false">SUM(D166:G166)</f>
        <v>-5024.29490194024</v>
      </c>
      <c r="I166" s="71" t="n">
        <f aca="false">D166+E166</f>
        <v>-1496.690970372</v>
      </c>
      <c r="L166" s="71" t="n">
        <f aca="false">D166+E166</f>
        <v>-1496.690970372</v>
      </c>
    </row>
    <row r="167" customFormat="false" ht="15" hidden="false" customHeight="true" outlineLevel="0" collapsed="false">
      <c r="A167" s="26"/>
      <c r="B167" s="51"/>
      <c r="C167" s="39" t="s">
        <v>43</v>
      </c>
      <c r="D167" s="37" t="n">
        <f aca="false">D159+D163</f>
        <v>5245.5165048</v>
      </c>
      <c r="E167" s="37" t="n">
        <f aca="false">E159+E163</f>
        <v>528.982506</v>
      </c>
      <c r="F167" s="37" t="n">
        <f aca="false">F159+F163</f>
        <v>2120.2842</v>
      </c>
      <c r="G167" s="37" t="n">
        <f aca="false">G159+G163</f>
        <v>2984.05513223413</v>
      </c>
      <c r="H167" s="37" t="n">
        <f aca="false">SUM(D167:G167)</f>
        <v>10878.8383430341</v>
      </c>
      <c r="L167" s="72" t="n">
        <f aca="false">D167+E167</f>
        <v>5774.4990108</v>
      </c>
    </row>
    <row r="168" customFormat="false" ht="28.5" hidden="false" customHeight="true" outlineLevel="0" collapsed="false">
      <c r="A168" s="26" t="s">
        <v>160</v>
      </c>
      <c r="B168" s="51"/>
      <c r="C168" s="65" t="s">
        <v>161</v>
      </c>
      <c r="D168" s="27" t="n">
        <f aca="false">SUM(D169:D171)</f>
        <v>0</v>
      </c>
      <c r="E168" s="27" t="n">
        <f aca="false">SUM(E169:E171)</f>
        <v>0</v>
      </c>
      <c r="F168" s="27" t="n">
        <f aca="false">SUM(F169:F171)</f>
        <v>0</v>
      </c>
      <c r="G168" s="27" t="n">
        <f aca="false">SUM(G169:G171)</f>
        <v>2156.68232685385</v>
      </c>
      <c r="H168" s="27" t="n">
        <f aca="false">SUM(H169:H171)</f>
        <v>2156.68232685385</v>
      </c>
    </row>
    <row r="169" customFormat="false" ht="15" hidden="false" customHeight="true" outlineLevel="0" collapsed="false">
      <c r="A169" s="26"/>
      <c r="B169" s="51"/>
      <c r="C169" s="30" t="s">
        <v>41</v>
      </c>
      <c r="D169" s="37" t="n">
        <v>0</v>
      </c>
      <c r="E169" s="37" t="n">
        <v>0</v>
      </c>
      <c r="F169" s="37" t="n">
        <v>0</v>
      </c>
      <c r="G169" s="37" t="n">
        <f aca="false">G123+G133</f>
        <v>1054.48499594485</v>
      </c>
      <c r="H169" s="37" t="n">
        <f aca="false">SUM(D169:G169)</f>
        <v>1054.48499594485</v>
      </c>
    </row>
    <row r="170" s="36" customFormat="true" ht="15" hidden="false" customHeight="true" outlineLevel="0" collapsed="false">
      <c r="A170" s="32"/>
      <c r="B170" s="70"/>
      <c r="C170" s="38" t="s">
        <v>42</v>
      </c>
      <c r="D170" s="35" t="n">
        <v>0</v>
      </c>
      <c r="E170" s="35" t="n">
        <v>0</v>
      </c>
      <c r="F170" s="35" t="n">
        <v>0</v>
      </c>
      <c r="G170" s="35" t="n">
        <f aca="false">G124+G134</f>
        <v>-1054.48499594485</v>
      </c>
      <c r="H170" s="35" t="n">
        <f aca="false">SUM(D170:G170)</f>
        <v>-1054.48499594485</v>
      </c>
    </row>
    <row r="171" customFormat="false" ht="15" hidden="false" customHeight="true" outlineLevel="0" collapsed="false">
      <c r="A171" s="26"/>
      <c r="B171" s="51"/>
      <c r="C171" s="39" t="s">
        <v>43</v>
      </c>
      <c r="D171" s="37" t="n">
        <v>0</v>
      </c>
      <c r="E171" s="37" t="n">
        <v>0</v>
      </c>
      <c r="F171" s="37" t="n">
        <v>0</v>
      </c>
      <c r="G171" s="37" t="n">
        <f aca="false">G125+G143</f>
        <v>2156.68232685385</v>
      </c>
      <c r="H171" s="37" t="n">
        <f aca="false">SUM(D171:G171)</f>
        <v>2156.68232685385</v>
      </c>
    </row>
    <row r="172" customFormat="false" ht="28.5" hidden="false" customHeight="true" outlineLevel="0" collapsed="false">
      <c r="A172" s="26" t="s">
        <v>162</v>
      </c>
      <c r="B172" s="51"/>
      <c r="C172" s="65" t="s">
        <v>163</v>
      </c>
      <c r="D172" s="27" t="n">
        <f aca="false">SUM(D173:D175)</f>
        <v>0</v>
      </c>
      <c r="E172" s="27" t="n">
        <f aca="false">SUM(E173:E175)</f>
        <v>0</v>
      </c>
      <c r="F172" s="27" t="n">
        <f aca="false">SUM(F173:F175)</f>
        <v>0</v>
      </c>
      <c r="G172" s="27" t="n">
        <f aca="false">SUM(G173:G175)</f>
        <v>-20.89</v>
      </c>
      <c r="H172" s="27" t="n">
        <f aca="false">SUM(H173:H175)</f>
        <v>-20.89</v>
      </c>
    </row>
    <row r="173" customFormat="false" ht="15" hidden="false" customHeight="true" outlineLevel="0" collapsed="false">
      <c r="A173" s="26"/>
      <c r="B173" s="51"/>
      <c r="C173" s="30" t="s">
        <v>41</v>
      </c>
      <c r="D173" s="37" t="n">
        <v>0</v>
      </c>
      <c r="E173" s="37" t="n">
        <v>0</v>
      </c>
      <c r="F173" s="37" t="n">
        <v>0</v>
      </c>
      <c r="G173" s="37" t="n">
        <v>0</v>
      </c>
      <c r="H173" s="37" t="n">
        <f aca="false">SUM(D173:G173)</f>
        <v>0</v>
      </c>
    </row>
    <row r="174" s="36" customFormat="true" ht="15" hidden="false" customHeight="true" outlineLevel="0" collapsed="false">
      <c r="A174" s="32"/>
      <c r="B174" s="70"/>
      <c r="C174" s="38" t="s">
        <v>42</v>
      </c>
      <c r="D174" s="35" t="n">
        <v>0</v>
      </c>
      <c r="E174" s="35" t="n">
        <v>0</v>
      </c>
      <c r="F174" s="35" t="n">
        <v>0</v>
      </c>
      <c r="G174" s="35" t="n">
        <v>0</v>
      </c>
      <c r="H174" s="35" t="n">
        <f aca="false">SUM(D174:G174)</f>
        <v>0</v>
      </c>
    </row>
    <row r="175" customFormat="false" ht="15" hidden="false" customHeight="true" outlineLevel="0" collapsed="false">
      <c r="A175" s="26"/>
      <c r="B175" s="51" t="s">
        <v>164</v>
      </c>
      <c r="C175" s="39" t="s">
        <v>165</v>
      </c>
      <c r="D175" s="37" t="n">
        <v>0</v>
      </c>
      <c r="E175" s="37" t="n">
        <v>0</v>
      </c>
      <c r="F175" s="37" t="n">
        <v>0</v>
      </c>
      <c r="G175" s="37" t="n">
        <v>-20.89</v>
      </c>
      <c r="H175" s="37" t="n">
        <f aca="false">SUM(D175:G175)</f>
        <v>-20.89</v>
      </c>
    </row>
    <row r="176" s="78" customFormat="true" ht="17.25" hidden="false" customHeight="true" outlineLevel="0" collapsed="false">
      <c r="A176" s="73"/>
      <c r="B176" s="74"/>
      <c r="C176" s="75"/>
      <c r="D176" s="76"/>
      <c r="E176" s="76"/>
      <c r="F176" s="76"/>
      <c r="G176" s="77"/>
      <c r="H176" s="77"/>
    </row>
    <row r="177" customFormat="false" ht="12.75" hidden="false" customHeight="true" outlineLevel="0" collapsed="false">
      <c r="A177" s="79" t="s">
        <v>166</v>
      </c>
      <c r="B177" s="79"/>
      <c r="C177" s="79"/>
      <c r="D177" s="80"/>
      <c r="E177" s="80"/>
      <c r="F177" s="80"/>
      <c r="G177" s="80"/>
      <c r="H177" s="80"/>
    </row>
    <row r="178" customFormat="false" ht="12.75" hidden="false" customHeight="true" outlineLevel="0" collapsed="false">
      <c r="A178" s="81" t="s">
        <v>167</v>
      </c>
      <c r="B178" s="81"/>
      <c r="C178" s="81"/>
      <c r="D178" s="81"/>
      <c r="E178" s="81"/>
      <c r="F178" s="81"/>
      <c r="G178" s="81"/>
      <c r="H178" s="81"/>
    </row>
    <row r="179" customFormat="false" ht="12.75" hidden="false" customHeight="true" outlineLevel="0" collapsed="false">
      <c r="A179" s="82" t="s">
        <v>168</v>
      </c>
      <c r="B179" s="82"/>
      <c r="C179" s="82"/>
      <c r="D179" s="82"/>
      <c r="E179" s="82"/>
      <c r="F179" s="82"/>
      <c r="G179" s="82"/>
      <c r="H179" s="82"/>
    </row>
    <row r="180" customFormat="false" ht="23.25" hidden="false" customHeight="true" outlineLevel="0" collapsed="false">
      <c r="A180" s="83"/>
      <c r="B180" s="84"/>
      <c r="C180" s="84" t="s">
        <v>169</v>
      </c>
      <c r="D180" s="80"/>
      <c r="E180" s="80"/>
      <c r="F180" s="80"/>
      <c r="G180" s="80"/>
      <c r="H180" s="80"/>
    </row>
    <row r="181" customFormat="false" ht="12.75" hidden="false" customHeight="true" outlineLevel="0" collapsed="false">
      <c r="A181" s="79" t="s">
        <v>170</v>
      </c>
      <c r="B181" s="79"/>
      <c r="C181" s="79"/>
      <c r="D181" s="80"/>
      <c r="E181" s="80"/>
      <c r="F181" s="80"/>
      <c r="G181" s="80"/>
      <c r="H181" s="80"/>
    </row>
    <row r="182" customFormat="false" ht="12.75" hidden="false" customHeight="true" outlineLevel="0" collapsed="false">
      <c r="A182" s="81" t="s">
        <v>171</v>
      </c>
      <c r="B182" s="81"/>
      <c r="C182" s="81"/>
      <c r="D182" s="81"/>
      <c r="E182" s="81"/>
      <c r="F182" s="81"/>
      <c r="G182" s="81"/>
      <c r="H182" s="81"/>
    </row>
    <row r="183" customFormat="false" ht="12.75" hidden="false" customHeight="true" outlineLevel="0" collapsed="false">
      <c r="A183" s="82" t="s">
        <v>168</v>
      </c>
      <c r="B183" s="82"/>
      <c r="C183" s="82"/>
      <c r="D183" s="82"/>
      <c r="E183" s="82"/>
      <c r="F183" s="82"/>
      <c r="G183" s="82"/>
      <c r="H183" s="82"/>
    </row>
    <row r="184" customFormat="false" ht="12.75" hidden="false" customHeight="true" outlineLevel="0" collapsed="false">
      <c r="A184" s="79" t="s">
        <v>172</v>
      </c>
      <c r="B184" s="79"/>
      <c r="C184" s="84"/>
      <c r="D184" s="80"/>
      <c r="E184" s="80"/>
      <c r="F184" s="80"/>
      <c r="G184" s="80"/>
      <c r="H184" s="80"/>
    </row>
    <row r="185" customFormat="false" ht="18" hidden="false" customHeight="true" outlineLevel="0" collapsed="false">
      <c r="A185" s="81" t="s">
        <v>173</v>
      </c>
      <c r="B185" s="81"/>
      <c r="C185" s="81"/>
      <c r="D185" s="81"/>
      <c r="E185" s="81"/>
      <c r="F185" s="81"/>
      <c r="G185" s="81"/>
      <c r="H185" s="81"/>
    </row>
    <row r="186" customFormat="false" ht="12.75" hidden="false" customHeight="true" outlineLevel="0" collapsed="false">
      <c r="A186" s="82" t="s">
        <v>168</v>
      </c>
      <c r="B186" s="82"/>
      <c r="C186" s="82"/>
      <c r="D186" s="82"/>
      <c r="E186" s="82"/>
      <c r="F186" s="82"/>
      <c r="G186" s="82"/>
      <c r="H186" s="82"/>
    </row>
    <row r="187" customFormat="false" ht="12.75" hidden="false" customHeight="true" outlineLevel="0" collapsed="false">
      <c r="A187" s="83"/>
      <c r="B187" s="84"/>
      <c r="C187" s="84"/>
      <c r="D187" s="80"/>
      <c r="E187" s="80"/>
      <c r="F187" s="80"/>
      <c r="G187" s="80"/>
      <c r="H187" s="80"/>
    </row>
    <row r="188" customFormat="false" ht="12.75" hidden="false" customHeight="true" outlineLevel="0" collapsed="false">
      <c r="A188" s="79" t="s">
        <v>0</v>
      </c>
      <c r="B188" s="79"/>
      <c r="C188" s="84"/>
      <c r="D188" s="80"/>
      <c r="E188" s="80"/>
      <c r="F188" s="80"/>
      <c r="G188" s="80"/>
      <c r="H188" s="80"/>
    </row>
    <row r="189" customFormat="false" ht="12.75" hidden="false" customHeight="true" outlineLevel="0" collapsed="false">
      <c r="A189" s="81" t="s">
        <v>174</v>
      </c>
      <c r="B189" s="81"/>
      <c r="C189" s="81"/>
      <c r="D189" s="81"/>
      <c r="E189" s="81"/>
      <c r="F189" s="81"/>
      <c r="G189" s="81"/>
      <c r="H189" s="81"/>
    </row>
    <row r="190" customFormat="false" ht="12.75" hidden="false" customHeight="true" outlineLevel="0" collapsed="false">
      <c r="A190" s="82" t="s">
        <v>168</v>
      </c>
      <c r="B190" s="82"/>
      <c r="C190" s="82"/>
      <c r="D190" s="82"/>
      <c r="E190" s="82"/>
      <c r="F190" s="82"/>
      <c r="G190" s="82"/>
      <c r="H190" s="82"/>
    </row>
  </sheetData>
  <mergeCells count="28">
    <mergeCell ref="C1:H1"/>
    <mergeCell ref="D5:F5"/>
    <mergeCell ref="D7:F7"/>
    <mergeCell ref="B9:G9"/>
    <mergeCell ref="B10:G10"/>
    <mergeCell ref="B11:C11"/>
    <mergeCell ref="A12:H12"/>
    <mergeCell ref="A14:H14"/>
    <mergeCell ref="A15:H15"/>
    <mergeCell ref="A16:H16"/>
    <mergeCell ref="D19:G19"/>
    <mergeCell ref="C24:H24"/>
    <mergeCell ref="C26:H26"/>
    <mergeCell ref="C35:H35"/>
    <mergeCell ref="C44:H44"/>
    <mergeCell ref="C53:H53"/>
    <mergeCell ref="C66:H66"/>
    <mergeCell ref="C79:H79"/>
    <mergeCell ref="C104:H104"/>
    <mergeCell ref="C121:H121"/>
    <mergeCell ref="A178:H178"/>
    <mergeCell ref="A179:H179"/>
    <mergeCell ref="A182:H182"/>
    <mergeCell ref="A183:H183"/>
    <mergeCell ref="A185:H185"/>
    <mergeCell ref="A186:H186"/>
    <mergeCell ref="A189:H189"/>
    <mergeCell ref="A190:H190"/>
  </mergeCells>
  <printOptions headings="false" gridLines="false" gridLinesSet="true" horizontalCentered="true" verticalCentered="false"/>
  <pageMargins left="0.354166666666667" right="0.354166666666667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09"/>
  <sheetViews>
    <sheetView showFormulas="false" showGridLines="false" showRowColHeaders="true" showZeros="true" rightToLeft="false" tabSelected="false" showOutlineSymbols="true" defaultGridColor="true" view="pageBreakPreview" topLeftCell="A1" colorId="64" zoomScale="85" zoomScaleNormal="85" zoomScalePageLayoutView="85" workbookViewId="0">
      <selection pane="topLeft" activeCell="C17" activeCellId="0" sqref="C17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1" width="21.14"/>
    <col collapsed="false" customWidth="true" hidden="false" outlineLevel="0" max="3" min="3" style="1" width="74.16"/>
    <col collapsed="false" customWidth="true" hidden="false" outlineLevel="0" max="4" min="4" style="1" width="14.42"/>
    <col collapsed="false" customWidth="true" hidden="false" outlineLevel="0" max="6" min="5" style="1" width="14.57"/>
    <col collapsed="false" customWidth="true" hidden="false" outlineLevel="0" max="7" min="7" style="1" width="18.14"/>
    <col collapsed="false" customWidth="true" hidden="false" outlineLevel="0" max="8" min="8" style="1" width="14.57"/>
    <col collapsed="false" customWidth="true" hidden="false" outlineLevel="0" max="9" min="9" style="1" width="12"/>
    <col collapsed="false" customWidth="true" hidden="false" outlineLevel="0" max="10" min="10" style="1" width="10.71"/>
    <col collapsed="false" customWidth="false" hidden="false" outlineLevel="0" max="11" min="11" style="1" width="9.14"/>
    <col collapsed="false" customWidth="true" hidden="false" outlineLevel="0" max="12" min="12" style="1" width="21.14"/>
    <col collapsed="false" customWidth="false" hidden="false" outlineLevel="0" max="13" min="13" style="1" width="9.14"/>
    <col collapsed="false" customWidth="true" hidden="false" outlineLevel="0" max="14" min="14" style="1" width="13.86"/>
    <col collapsed="false" customWidth="false" hidden="false" outlineLevel="0" max="16384" min="15" style="1" width="9.14"/>
  </cols>
  <sheetData>
    <row r="1" s="4" customFormat="true" ht="15" hidden="false" customHeight="true" outlineLevel="0" collapsed="false">
      <c r="A1" s="2"/>
      <c r="B1" s="2" t="s">
        <v>0</v>
      </c>
      <c r="C1" s="3" t="s">
        <v>1</v>
      </c>
      <c r="D1" s="3"/>
      <c r="E1" s="3"/>
      <c r="F1" s="3"/>
      <c r="G1" s="3"/>
      <c r="H1" s="3"/>
    </row>
    <row r="2" customFormat="false" ht="22.5" hidden="false" customHeight="true" outlineLevel="0" collapsed="false">
      <c r="A2" s="2"/>
      <c r="B2" s="2"/>
      <c r="C2" s="2"/>
      <c r="D2" s="5" t="s">
        <v>2</v>
      </c>
      <c r="E2" s="2"/>
      <c r="F2" s="2"/>
      <c r="G2" s="2"/>
      <c r="H2" s="2"/>
    </row>
    <row r="3" customFormat="false" ht="15" hidden="false" customHeight="true" outlineLevel="0" collapsed="false">
      <c r="A3" s="2"/>
      <c r="B3" s="2" t="s">
        <v>3</v>
      </c>
      <c r="C3" s="2" t="s">
        <v>4</v>
      </c>
      <c r="D3" s="2"/>
      <c r="E3" s="2"/>
      <c r="F3" s="2"/>
      <c r="G3" s="2"/>
      <c r="H3" s="2"/>
    </row>
    <row r="4" customFormat="false" ht="15" hidden="false" customHeight="tru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15" hidden="false" customHeight="true" outlineLevel="0" collapsed="false">
      <c r="A5" s="2"/>
      <c r="B5" s="2" t="s">
        <v>5</v>
      </c>
      <c r="C5" s="2"/>
      <c r="D5" s="6" t="n">
        <f aca="false">H172</f>
        <v>171770.885019982</v>
      </c>
      <c r="E5" s="6"/>
      <c r="F5" s="6"/>
      <c r="G5" s="2" t="s">
        <v>6</v>
      </c>
      <c r="H5" s="2"/>
    </row>
    <row r="6" customFormat="false" ht="15" hidden="false" customHeight="true" outlineLevel="0" collapsed="false">
      <c r="A6" s="2"/>
      <c r="B6" s="2"/>
      <c r="C6" s="2"/>
      <c r="D6" s="2"/>
      <c r="E6" s="2"/>
      <c r="F6" s="2"/>
      <c r="G6" s="2"/>
      <c r="H6" s="2"/>
    </row>
    <row r="7" customFormat="false" ht="15" hidden="false" customHeight="true" outlineLevel="0" collapsed="false">
      <c r="A7" s="2"/>
      <c r="B7" s="7" t="s">
        <v>7</v>
      </c>
      <c r="C7" s="7"/>
      <c r="D7" s="8" t="n">
        <f aca="false">-H180</f>
        <v>117.56574</v>
      </c>
      <c r="E7" s="8"/>
      <c r="F7" s="8"/>
      <c r="G7" s="2" t="s">
        <v>6</v>
      </c>
      <c r="H7" s="2"/>
    </row>
    <row r="8" customFormat="false" ht="26.25" hidden="false" customHeight="true" outlineLevel="0" collapsed="false">
      <c r="A8" s="2"/>
      <c r="B8" s="7"/>
      <c r="C8" s="7"/>
      <c r="D8" s="9"/>
      <c r="E8" s="9"/>
      <c r="F8" s="9"/>
      <c r="G8" s="2"/>
      <c r="H8" s="2"/>
    </row>
    <row r="9" customFormat="false" ht="11.25" hidden="false" customHeight="true" outlineLevel="0" collapsed="false">
      <c r="A9" s="2"/>
      <c r="B9" s="10"/>
      <c r="C9" s="10"/>
      <c r="D9" s="10"/>
      <c r="E9" s="10"/>
      <c r="F9" s="10"/>
      <c r="G9" s="10"/>
      <c r="H9" s="2"/>
    </row>
    <row r="10" customFormat="false" ht="23.25" hidden="false" customHeight="true" outlineLevel="0" collapsed="false">
      <c r="A10" s="2"/>
      <c r="B10" s="11" t="s">
        <v>8</v>
      </c>
      <c r="C10" s="11"/>
      <c r="D10" s="11"/>
      <c r="E10" s="11"/>
      <c r="F10" s="11"/>
      <c r="G10" s="11"/>
      <c r="H10" s="2"/>
    </row>
    <row r="11" customFormat="false" ht="31.5" hidden="false" customHeight="true" outlineLevel="0" collapsed="false">
      <c r="A11" s="2"/>
      <c r="B11" s="12" t="s">
        <v>4</v>
      </c>
      <c r="C11" s="12"/>
      <c r="D11" s="2"/>
      <c r="E11" s="2"/>
      <c r="F11" s="2"/>
      <c r="G11" s="2"/>
      <c r="H11" s="2"/>
    </row>
    <row r="12" customFormat="false" ht="15.75" hidden="false" customHeight="true" outlineLevel="0" collapsed="false">
      <c r="A12" s="13" t="s">
        <v>9</v>
      </c>
      <c r="B12" s="13"/>
      <c r="C12" s="13"/>
      <c r="D12" s="13"/>
      <c r="E12" s="13"/>
      <c r="F12" s="13"/>
      <c r="G12" s="13"/>
      <c r="H12" s="13"/>
    </row>
    <row r="13" customFormat="false" ht="15" hidden="false" customHeight="true" outlineLevel="0" collapsed="false">
      <c r="A13" s="2"/>
      <c r="B13" s="2"/>
      <c r="C13" s="2"/>
      <c r="D13" s="2" t="s">
        <v>10</v>
      </c>
      <c r="E13" s="2"/>
      <c r="F13" s="2"/>
      <c r="G13" s="2"/>
      <c r="H13" s="2"/>
    </row>
    <row r="14" customFormat="false" ht="36" hidden="false" customHeight="true" outlineLevel="0" collapsed="false">
      <c r="A14" s="14" t="s">
        <v>11</v>
      </c>
      <c r="B14" s="14"/>
      <c r="C14" s="14"/>
      <c r="D14" s="14"/>
      <c r="E14" s="14"/>
      <c r="F14" s="14"/>
      <c r="G14" s="14"/>
      <c r="H14" s="14"/>
    </row>
    <row r="15" customFormat="false" ht="15" hidden="false" customHeight="true" outlineLevel="0" collapsed="false">
      <c r="A15" s="15" t="s">
        <v>12</v>
      </c>
      <c r="B15" s="15"/>
      <c r="C15" s="15"/>
      <c r="D15" s="15"/>
      <c r="E15" s="15"/>
      <c r="F15" s="15"/>
      <c r="G15" s="15"/>
      <c r="H15" s="15"/>
    </row>
    <row r="16" customFormat="false" ht="1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</row>
    <row r="17" customFormat="false" ht="15" hidden="false" customHeight="true" outlineLevel="0" collapsed="false">
      <c r="A17" s="17"/>
      <c r="B17" s="2"/>
      <c r="C17" s="2" t="s">
        <v>175</v>
      </c>
      <c r="D17" s="2"/>
      <c r="E17" s="2"/>
      <c r="F17" s="2"/>
      <c r="G17" s="2"/>
      <c r="H17" s="2"/>
    </row>
    <row r="18" customFormat="false" ht="15" hidden="false" customHeight="true" outlineLevel="0" collapsed="false">
      <c r="A18" s="2"/>
      <c r="B18" s="2"/>
      <c r="C18" s="2"/>
      <c r="D18" s="2"/>
      <c r="E18" s="2"/>
      <c r="F18" s="2"/>
      <c r="G18" s="2"/>
      <c r="H18" s="2"/>
    </row>
    <row r="19" customFormat="false" ht="12.75" hidden="false" customHeight="true" outlineLevel="0" collapsed="false">
      <c r="A19" s="18"/>
      <c r="B19" s="18" t="s">
        <v>14</v>
      </c>
      <c r="C19" s="18"/>
      <c r="D19" s="19" t="s">
        <v>15</v>
      </c>
      <c r="E19" s="19"/>
      <c r="F19" s="19"/>
      <c r="G19" s="19"/>
      <c r="H19" s="18" t="s">
        <v>16</v>
      </c>
    </row>
    <row r="20" customFormat="false" ht="13.5" hidden="false" customHeight="true" outlineLevel="0" collapsed="false">
      <c r="A20" s="20" t="s">
        <v>17</v>
      </c>
      <c r="B20" s="20" t="s">
        <v>18</v>
      </c>
      <c r="C20" s="20" t="s">
        <v>19</v>
      </c>
      <c r="D20" s="21" t="s">
        <v>20</v>
      </c>
      <c r="E20" s="21" t="s">
        <v>21</v>
      </c>
      <c r="F20" s="21" t="s">
        <v>22</v>
      </c>
      <c r="G20" s="21" t="s">
        <v>23</v>
      </c>
      <c r="H20" s="20" t="s">
        <v>24</v>
      </c>
    </row>
    <row r="21" customFormat="false" ht="13.5" hidden="false" customHeight="true" outlineLevel="0" collapsed="false">
      <c r="A21" s="20" t="s">
        <v>25</v>
      </c>
      <c r="B21" s="20" t="s">
        <v>26</v>
      </c>
      <c r="C21" s="20" t="s">
        <v>27</v>
      </c>
      <c r="D21" s="20" t="s">
        <v>28</v>
      </c>
      <c r="E21" s="20" t="s">
        <v>29</v>
      </c>
      <c r="F21" s="20" t="s">
        <v>30</v>
      </c>
      <c r="G21" s="20" t="s">
        <v>31</v>
      </c>
      <c r="H21" s="20" t="s">
        <v>32</v>
      </c>
    </row>
    <row r="22" customFormat="false" ht="13.5" hidden="false" customHeight="true" outlineLevel="0" collapsed="false">
      <c r="A22" s="22"/>
      <c r="B22" s="22" t="s">
        <v>33</v>
      </c>
      <c r="C22" s="22"/>
      <c r="D22" s="22" t="s">
        <v>29</v>
      </c>
      <c r="E22" s="22"/>
      <c r="F22" s="22" t="s">
        <v>34</v>
      </c>
      <c r="G22" s="22"/>
      <c r="H22" s="22"/>
    </row>
    <row r="23" customFormat="false" ht="13.5" hidden="false" customHeight="true" outlineLevel="0" collapsed="false">
      <c r="A23" s="23" t="n">
        <v>1</v>
      </c>
      <c r="B23" s="23" t="n">
        <v>2</v>
      </c>
      <c r="C23" s="23" t="n">
        <v>3</v>
      </c>
      <c r="D23" s="23" t="n">
        <v>4</v>
      </c>
      <c r="E23" s="23" t="n">
        <v>5</v>
      </c>
      <c r="F23" s="23" t="n">
        <v>6</v>
      </c>
      <c r="G23" s="23" t="n">
        <v>7</v>
      </c>
      <c r="H23" s="23" t="n">
        <v>8</v>
      </c>
    </row>
    <row r="24" customFormat="false" ht="15.75" hidden="false" customHeight="true" outlineLevel="0" collapsed="false">
      <c r="A24" s="24"/>
      <c r="B24" s="24"/>
      <c r="C24" s="25" t="s">
        <v>35</v>
      </c>
      <c r="D24" s="25"/>
      <c r="E24" s="25"/>
      <c r="F24" s="25"/>
      <c r="G24" s="25"/>
      <c r="H24" s="25"/>
    </row>
    <row r="25" customFormat="false" ht="15" hidden="false" customHeight="true" outlineLevel="0" collapsed="false">
      <c r="A25" s="26" t="s">
        <v>36</v>
      </c>
      <c r="B25" s="24"/>
      <c r="C25" s="25" t="s">
        <v>37</v>
      </c>
      <c r="D25" s="27" t="n">
        <v>0</v>
      </c>
      <c r="E25" s="27" t="n">
        <v>0</v>
      </c>
      <c r="F25" s="27" t="n">
        <v>0</v>
      </c>
      <c r="G25" s="27" t="n">
        <v>0</v>
      </c>
      <c r="H25" s="27" t="n">
        <v>0</v>
      </c>
    </row>
    <row r="26" customFormat="false" ht="15" hidden="false" customHeight="true" outlineLevel="0" collapsed="false">
      <c r="A26" s="26"/>
      <c r="B26" s="24"/>
      <c r="C26" s="25" t="s">
        <v>38</v>
      </c>
      <c r="D26" s="25"/>
      <c r="E26" s="25"/>
      <c r="F26" s="25"/>
      <c r="G26" s="25"/>
      <c r="H26" s="25"/>
    </row>
    <row r="27" customFormat="false" ht="44.25" hidden="false" customHeight="true" outlineLevel="0" collapsed="false">
      <c r="A27" s="26" t="s">
        <v>39</v>
      </c>
      <c r="B27" s="24" t="s">
        <v>40</v>
      </c>
      <c r="C27" s="28" t="s">
        <v>11</v>
      </c>
      <c r="D27" s="29" t="n">
        <f aca="false">D28+D29+D30</f>
        <v>78160.49987</v>
      </c>
      <c r="E27" s="29" t="n">
        <f aca="false">E28+E29+E30</f>
        <v>15227.09131</v>
      </c>
      <c r="F27" s="29" t="n">
        <f aca="false">F28+F29+F30</f>
        <v>27360.42843</v>
      </c>
      <c r="G27" s="29" t="n">
        <f aca="false">G28+G29+G30</f>
        <v>120.08296</v>
      </c>
      <c r="H27" s="29" t="n">
        <f aca="false">H28+H29+H30</f>
        <v>120868.10257</v>
      </c>
    </row>
    <row r="28" customFormat="false" ht="15" hidden="false" customHeight="true" outlineLevel="0" collapsed="false">
      <c r="A28" s="26"/>
      <c r="B28" s="24"/>
      <c r="C28" s="30" t="s">
        <v>41</v>
      </c>
      <c r="D28" s="31" t="n">
        <f aca="false">'ОСР_02-01 тек'!D81</f>
        <v>12142.02775</v>
      </c>
      <c r="E28" s="31" t="n">
        <f aca="false">'ОСР_02-01 тек'!E81</f>
        <v>3027.39</v>
      </c>
      <c r="F28" s="31" t="n">
        <f aca="false">'ОСР_02-01 тек'!F81</f>
        <v>8148.86399</v>
      </c>
      <c r="G28" s="31" t="n">
        <f aca="false">'ОСР_02-01 тек'!G81</f>
        <v>725.00149</v>
      </c>
      <c r="H28" s="31" t="n">
        <f aca="false">SUM(D28:G28)</f>
        <v>24043.28323</v>
      </c>
    </row>
    <row r="29" s="36" customFormat="true" ht="17.25" hidden="false" customHeight="true" outlineLevel="0" collapsed="false">
      <c r="A29" s="32"/>
      <c r="B29" s="33"/>
      <c r="C29" s="34" t="s">
        <v>42</v>
      </c>
      <c r="D29" s="35" t="n">
        <f aca="false">('ОСР_02-01 тек'!D82)</f>
        <v>-6398.3677</v>
      </c>
      <c r="E29" s="35" t="n">
        <f aca="false">('ОСР_02-01 тек'!E82)</f>
        <v>-2013.81549</v>
      </c>
      <c r="F29" s="35" t="n">
        <f aca="false">('ОСР_02-01 тек'!F82)</f>
        <v>-8028.47376</v>
      </c>
      <c r="G29" s="35" t="n">
        <f aca="false">('ОСР_02-01 тек'!G82)</f>
        <v>-606.66159</v>
      </c>
      <c r="H29" s="35" t="n">
        <f aca="false">(SUM(D29:G29))</f>
        <v>-17047.31854</v>
      </c>
    </row>
    <row r="30" customFormat="false" ht="17.25" hidden="false" customHeight="true" outlineLevel="0" collapsed="false">
      <c r="A30" s="26"/>
      <c r="B30" s="24"/>
      <c r="C30" s="30" t="s">
        <v>43</v>
      </c>
      <c r="D30" s="31" t="n">
        <f aca="false">'ОСР_02-01 тек'!D83</f>
        <v>72416.83982</v>
      </c>
      <c r="E30" s="31" t="n">
        <f aca="false">'ОСР_02-01 тек'!E83</f>
        <v>14213.5168</v>
      </c>
      <c r="F30" s="31" t="n">
        <f aca="false">'ОСР_02-01 тек'!F83</f>
        <v>27240.0382</v>
      </c>
      <c r="G30" s="31" t="n">
        <f aca="false">'ОСР_02-01 тек'!G83</f>
        <v>1.74306</v>
      </c>
      <c r="H30" s="31" t="n">
        <f aca="false">SUM(D30:G30)</f>
        <v>113872.13788</v>
      </c>
    </row>
    <row r="31" customFormat="false" ht="15" hidden="false" customHeight="true" outlineLevel="0" collapsed="false">
      <c r="A31" s="26" t="s">
        <v>44</v>
      </c>
      <c r="B31" s="24"/>
      <c r="C31" s="25" t="s">
        <v>45</v>
      </c>
      <c r="D31" s="27" t="n">
        <f aca="false">D32+D33+D34</f>
        <v>78160.49987</v>
      </c>
      <c r="E31" s="27" t="n">
        <f aca="false">E32+E33+E34</f>
        <v>15227.09131</v>
      </c>
      <c r="F31" s="27" t="n">
        <f aca="false">F32+F33+F34</f>
        <v>27360.42843</v>
      </c>
      <c r="G31" s="27" t="n">
        <f aca="false">G32+G33+G34</f>
        <v>120.08296</v>
      </c>
      <c r="H31" s="27" t="n">
        <f aca="false">H32+H33+H34</f>
        <v>120868.10257</v>
      </c>
    </row>
    <row r="32" customFormat="false" ht="15" hidden="false" customHeight="true" outlineLevel="0" collapsed="false">
      <c r="A32" s="26"/>
      <c r="B32" s="24"/>
      <c r="C32" s="30" t="s">
        <v>41</v>
      </c>
      <c r="D32" s="37" t="n">
        <f aca="false">D28</f>
        <v>12142.02775</v>
      </c>
      <c r="E32" s="37" t="n">
        <f aca="false">E28</f>
        <v>3027.39</v>
      </c>
      <c r="F32" s="37" t="n">
        <f aca="false">F28</f>
        <v>8148.86399</v>
      </c>
      <c r="G32" s="37" t="n">
        <f aca="false">G28</f>
        <v>725.00149</v>
      </c>
      <c r="H32" s="37" t="n">
        <f aca="false">H28</f>
        <v>24043.28323</v>
      </c>
    </row>
    <row r="33" s="36" customFormat="true" ht="15" hidden="false" customHeight="true" outlineLevel="0" collapsed="false">
      <c r="A33" s="32"/>
      <c r="B33" s="33"/>
      <c r="C33" s="38" t="s">
        <v>42</v>
      </c>
      <c r="D33" s="35" t="n">
        <f aca="false">D29</f>
        <v>-6398.3677</v>
      </c>
      <c r="E33" s="35" t="n">
        <f aca="false">E29</f>
        <v>-2013.81549</v>
      </c>
      <c r="F33" s="35" t="n">
        <f aca="false">F29</f>
        <v>-8028.47376</v>
      </c>
      <c r="G33" s="35" t="n">
        <f aca="false">G29</f>
        <v>-606.66159</v>
      </c>
      <c r="H33" s="35" t="n">
        <f aca="false">H29</f>
        <v>-17047.31854</v>
      </c>
    </row>
    <row r="34" customFormat="false" ht="15" hidden="false" customHeight="true" outlineLevel="0" collapsed="false">
      <c r="A34" s="26"/>
      <c r="B34" s="24"/>
      <c r="C34" s="39" t="s">
        <v>43</v>
      </c>
      <c r="D34" s="37" t="n">
        <f aca="false">D30</f>
        <v>72416.83982</v>
      </c>
      <c r="E34" s="37" t="n">
        <f aca="false">E30</f>
        <v>14213.5168</v>
      </c>
      <c r="F34" s="37" t="n">
        <f aca="false">F30</f>
        <v>27240.0382</v>
      </c>
      <c r="G34" s="37" t="n">
        <f aca="false">G30</f>
        <v>1.74306</v>
      </c>
      <c r="H34" s="37" t="n">
        <f aca="false">H30</f>
        <v>113872.13788</v>
      </c>
    </row>
    <row r="35" customFormat="false" ht="15" hidden="false" customHeight="true" outlineLevel="0" collapsed="false">
      <c r="A35" s="26"/>
      <c r="B35" s="24"/>
      <c r="C35" s="25" t="s">
        <v>46</v>
      </c>
      <c r="D35" s="25"/>
      <c r="E35" s="25"/>
      <c r="F35" s="25"/>
      <c r="G35" s="25"/>
      <c r="H35" s="25"/>
    </row>
    <row r="36" customFormat="false" ht="15" hidden="false" customHeight="true" outlineLevel="0" collapsed="false">
      <c r="A36" s="26" t="s">
        <v>47</v>
      </c>
      <c r="B36" s="40" t="s">
        <v>48</v>
      </c>
      <c r="C36" s="28" t="s">
        <v>49</v>
      </c>
      <c r="D36" s="29" t="n">
        <f aca="false">D37+D38+D39</f>
        <v>460.45041</v>
      </c>
      <c r="E36" s="29" t="n">
        <f aca="false">E37+E38+E39</f>
        <v>64.18774</v>
      </c>
      <c r="F36" s="29" t="n">
        <f aca="false">F37+F38+F39</f>
        <v>12.99655</v>
      </c>
      <c r="G36" s="29" t="n">
        <f aca="false">G37+G38+G39</f>
        <v>0</v>
      </c>
      <c r="H36" s="29" t="n">
        <f aca="false">H37+H38+H39</f>
        <v>537.6347</v>
      </c>
    </row>
    <row r="37" customFormat="false" ht="15" hidden="false" customHeight="true" outlineLevel="0" collapsed="false">
      <c r="A37" s="26"/>
      <c r="B37" s="24"/>
      <c r="C37" s="41" t="s">
        <v>41</v>
      </c>
      <c r="D37" s="37" t="n">
        <v>0</v>
      </c>
      <c r="E37" s="37" t="n">
        <v>0</v>
      </c>
      <c r="F37" s="37" t="n">
        <v>0</v>
      </c>
      <c r="G37" s="37" t="n">
        <v>0</v>
      </c>
      <c r="H37" s="31" t="n">
        <f aca="false">SUM(D37:G37)</f>
        <v>0</v>
      </c>
    </row>
    <row r="38" customFormat="false" ht="15" hidden="false" customHeight="true" outlineLevel="0" collapsed="false">
      <c r="A38" s="26"/>
      <c r="B38" s="24"/>
      <c r="C38" s="44" t="s">
        <v>42</v>
      </c>
      <c r="D38" s="35" t="n">
        <v>0</v>
      </c>
      <c r="E38" s="35" t="n">
        <v>0</v>
      </c>
      <c r="F38" s="35" t="n">
        <v>0</v>
      </c>
      <c r="G38" s="35" t="n">
        <v>0</v>
      </c>
      <c r="H38" s="45" t="n">
        <f aca="false">SUM(D38:G38)</f>
        <v>0</v>
      </c>
    </row>
    <row r="39" customFormat="false" ht="15" hidden="false" customHeight="true" outlineLevel="0" collapsed="false">
      <c r="A39" s="26"/>
      <c r="C39" s="48" t="s">
        <v>43</v>
      </c>
      <c r="D39" s="37" t="n">
        <v>460.45041</v>
      </c>
      <c r="E39" s="37" t="n">
        <v>64.18774</v>
      </c>
      <c r="F39" s="37" t="n">
        <v>12.99655</v>
      </c>
      <c r="G39" s="37" t="n">
        <v>0</v>
      </c>
      <c r="H39" s="31" t="n">
        <f aca="false">SUM(D39:G39)</f>
        <v>537.6347</v>
      </c>
    </row>
    <row r="40" customFormat="false" ht="15" hidden="false" customHeight="true" outlineLevel="0" collapsed="false">
      <c r="A40" s="26"/>
      <c r="B40" s="24"/>
      <c r="C40" s="25" t="s">
        <v>50</v>
      </c>
      <c r="D40" s="27" t="n">
        <f aca="false">D41+D42+D43</f>
        <v>460.45041</v>
      </c>
      <c r="E40" s="27" t="n">
        <f aca="false">E41+E42+E43</f>
        <v>64.18774</v>
      </c>
      <c r="F40" s="27" t="n">
        <f aca="false">F41+F42+F43</f>
        <v>12.99655</v>
      </c>
      <c r="G40" s="27" t="n">
        <f aca="false">G41+G42+G43</f>
        <v>0</v>
      </c>
      <c r="H40" s="27" t="n">
        <f aca="false">H41+H42+H43</f>
        <v>537.6347</v>
      </c>
    </row>
    <row r="41" customFormat="false" ht="15" hidden="false" customHeight="true" outlineLevel="0" collapsed="false">
      <c r="A41" s="26"/>
      <c r="B41" s="24"/>
      <c r="C41" s="30" t="s">
        <v>41</v>
      </c>
      <c r="D41" s="37" t="n">
        <f aca="false">D37</f>
        <v>0</v>
      </c>
      <c r="E41" s="37" t="n">
        <f aca="false">E37</f>
        <v>0</v>
      </c>
      <c r="F41" s="37" t="n">
        <f aca="false">F37</f>
        <v>0</v>
      </c>
      <c r="G41" s="37" t="n">
        <f aca="false">G37</f>
        <v>0</v>
      </c>
      <c r="H41" s="31" t="n">
        <f aca="false">SUM(D41:G41)</f>
        <v>0</v>
      </c>
    </row>
    <row r="42" customFormat="false" ht="15" hidden="false" customHeight="true" outlineLevel="0" collapsed="false">
      <c r="A42" s="26"/>
      <c r="B42" s="24"/>
      <c r="C42" s="38" t="s">
        <v>42</v>
      </c>
      <c r="D42" s="35" t="n">
        <f aca="false">D38</f>
        <v>0</v>
      </c>
      <c r="E42" s="35" t="n">
        <f aca="false">E38</f>
        <v>0</v>
      </c>
      <c r="F42" s="35" t="n">
        <f aca="false">F38</f>
        <v>0</v>
      </c>
      <c r="G42" s="35" t="n">
        <f aca="false">G38</f>
        <v>0</v>
      </c>
      <c r="H42" s="45" t="n">
        <f aca="false">SUM(D42:G42)</f>
        <v>0</v>
      </c>
    </row>
    <row r="43" customFormat="false" ht="15" hidden="false" customHeight="true" outlineLevel="0" collapsed="false">
      <c r="A43" s="26"/>
      <c r="B43" s="24"/>
      <c r="C43" s="39" t="s">
        <v>43</v>
      </c>
      <c r="D43" s="37" t="n">
        <f aca="false">D39</f>
        <v>460.45041</v>
      </c>
      <c r="E43" s="37" t="n">
        <f aca="false">E39</f>
        <v>64.18774</v>
      </c>
      <c r="F43" s="37" t="n">
        <f aca="false">F39</f>
        <v>12.99655</v>
      </c>
      <c r="G43" s="37" t="n">
        <f aca="false">G39</f>
        <v>0</v>
      </c>
      <c r="H43" s="31" t="n">
        <f aca="false">SUM(D43:G43)</f>
        <v>537.6347</v>
      </c>
    </row>
    <row r="44" customFormat="false" ht="15" hidden="false" customHeight="true" outlineLevel="0" collapsed="false">
      <c r="A44" s="26"/>
      <c r="B44" s="24"/>
      <c r="C44" s="25" t="s">
        <v>51</v>
      </c>
      <c r="D44" s="25"/>
      <c r="E44" s="25"/>
      <c r="F44" s="25"/>
      <c r="G44" s="25"/>
      <c r="H44" s="25"/>
      <c r="L44" s="42"/>
      <c r="M44" s="42"/>
    </row>
    <row r="45" customFormat="false" ht="15" hidden="false" customHeight="true" outlineLevel="0" collapsed="false">
      <c r="A45" s="26" t="s">
        <v>52</v>
      </c>
      <c r="B45" s="40" t="s">
        <v>53</v>
      </c>
      <c r="C45" s="28" t="s">
        <v>54</v>
      </c>
      <c r="D45" s="29" t="n">
        <f aca="false">D46+D47+D48</f>
        <v>58.77888</v>
      </c>
      <c r="E45" s="29" t="n">
        <f aca="false">E46+E47+E48</f>
        <v>24.63538</v>
      </c>
      <c r="F45" s="29" t="n">
        <f aca="false">F46+F47+F48</f>
        <v>0</v>
      </c>
      <c r="G45" s="29" t="n">
        <f aca="false">G46+G47+G48</f>
        <v>0</v>
      </c>
      <c r="H45" s="29" t="n">
        <f aca="false">H46+H47+H48</f>
        <v>83.41426</v>
      </c>
      <c r="L45" s="46"/>
      <c r="M45" s="46"/>
    </row>
    <row r="46" customFormat="false" ht="15" hidden="false" customHeight="true" outlineLevel="0" collapsed="false">
      <c r="A46" s="26"/>
      <c r="B46" s="24"/>
      <c r="C46" s="41" t="s">
        <v>41</v>
      </c>
      <c r="D46" s="37" t="n">
        <v>0</v>
      </c>
      <c r="E46" s="37" t="n">
        <v>0</v>
      </c>
      <c r="F46" s="37" t="n">
        <v>0</v>
      </c>
      <c r="G46" s="37" t="n">
        <v>0</v>
      </c>
      <c r="H46" s="31" t="n">
        <f aca="false">SUM(D46:G46)</f>
        <v>0</v>
      </c>
      <c r="L46" s="46"/>
      <c r="M46" s="46"/>
    </row>
    <row r="47" customFormat="false" ht="15" hidden="false" customHeight="true" outlineLevel="0" collapsed="false">
      <c r="A47" s="26"/>
      <c r="B47" s="24"/>
      <c r="C47" s="44" t="s">
        <v>42</v>
      </c>
      <c r="D47" s="35" t="n">
        <v>0</v>
      </c>
      <c r="E47" s="35" t="n">
        <v>0</v>
      </c>
      <c r="F47" s="35" t="n">
        <v>0</v>
      </c>
      <c r="G47" s="35" t="n">
        <v>0</v>
      </c>
      <c r="H47" s="45" t="n">
        <f aca="false">SUM(D47:G47)</f>
        <v>0</v>
      </c>
      <c r="L47" s="46"/>
      <c r="M47" s="46"/>
    </row>
    <row r="48" customFormat="false" ht="15" hidden="false" customHeight="true" outlineLevel="0" collapsed="false">
      <c r="A48" s="26"/>
      <c r="B48" s="24"/>
      <c r="C48" s="48" t="s">
        <v>43</v>
      </c>
      <c r="D48" s="37" t="n">
        <v>58.77888</v>
      </c>
      <c r="E48" s="37" t="n">
        <v>24.63538</v>
      </c>
      <c r="F48" s="37" t="n">
        <v>0</v>
      </c>
      <c r="G48" s="37" t="n">
        <v>0</v>
      </c>
      <c r="H48" s="31" t="n">
        <f aca="false">SUM(D48:G48)</f>
        <v>83.41426</v>
      </c>
      <c r="L48" s="46"/>
      <c r="M48" s="46"/>
    </row>
    <row r="49" customFormat="false" ht="15" hidden="false" customHeight="true" outlineLevel="0" collapsed="false">
      <c r="A49" s="26"/>
      <c r="B49" s="24"/>
      <c r="C49" s="25" t="s">
        <v>55</v>
      </c>
      <c r="D49" s="27" t="n">
        <f aca="false">D50+D51+D52</f>
        <v>58.77888</v>
      </c>
      <c r="E49" s="27" t="n">
        <f aca="false">E50+E51+E52</f>
        <v>24.63538</v>
      </c>
      <c r="F49" s="27" t="n">
        <f aca="false">F50+F51+F52</f>
        <v>0</v>
      </c>
      <c r="G49" s="27" t="n">
        <f aca="false">G50+G51+G52</f>
        <v>0</v>
      </c>
      <c r="H49" s="27" t="n">
        <f aca="false">H50+H51+H52</f>
        <v>83.41426</v>
      </c>
      <c r="L49" s="46"/>
      <c r="M49" s="46"/>
    </row>
    <row r="50" customFormat="false" ht="15" hidden="false" customHeight="true" outlineLevel="0" collapsed="false">
      <c r="A50" s="26"/>
      <c r="B50" s="24"/>
      <c r="C50" s="30" t="s">
        <v>41</v>
      </c>
      <c r="D50" s="37" t="n">
        <f aca="false">D46</f>
        <v>0</v>
      </c>
      <c r="E50" s="37" t="n">
        <f aca="false">E46</f>
        <v>0</v>
      </c>
      <c r="F50" s="37" t="n">
        <f aca="false">F46</f>
        <v>0</v>
      </c>
      <c r="G50" s="37" t="n">
        <f aca="false">G46</f>
        <v>0</v>
      </c>
      <c r="H50" s="31" t="n">
        <f aca="false">SUM(D50:G50)</f>
        <v>0</v>
      </c>
    </row>
    <row r="51" customFormat="false" ht="15" hidden="false" customHeight="true" outlineLevel="0" collapsed="false">
      <c r="A51" s="26"/>
      <c r="B51" s="24"/>
      <c r="C51" s="38" t="s">
        <v>42</v>
      </c>
      <c r="D51" s="35" t="n">
        <f aca="false">D47</f>
        <v>0</v>
      </c>
      <c r="E51" s="35" t="n">
        <f aca="false">E47</f>
        <v>0</v>
      </c>
      <c r="F51" s="35" t="n">
        <f aca="false">F47</f>
        <v>0</v>
      </c>
      <c r="G51" s="35" t="n">
        <f aca="false">G47</f>
        <v>0</v>
      </c>
      <c r="H51" s="45" t="n">
        <f aca="false">SUM(D51:G51)</f>
        <v>0</v>
      </c>
    </row>
    <row r="52" customFormat="false" ht="15" hidden="false" customHeight="true" outlineLevel="0" collapsed="false">
      <c r="A52" s="26"/>
      <c r="B52" s="24"/>
      <c r="C52" s="39" t="s">
        <v>43</v>
      </c>
      <c r="D52" s="37" t="n">
        <f aca="false">D48</f>
        <v>58.77888</v>
      </c>
      <c r="E52" s="37" t="n">
        <f aca="false">E48</f>
        <v>24.63538</v>
      </c>
      <c r="F52" s="37" t="n">
        <f aca="false">F48</f>
        <v>0</v>
      </c>
      <c r="G52" s="37" t="n">
        <f aca="false">G48</f>
        <v>0</v>
      </c>
      <c r="H52" s="31" t="n">
        <f aca="false">SUM(D52:G52)</f>
        <v>83.41426</v>
      </c>
    </row>
    <row r="53" customFormat="false" ht="15" hidden="false" customHeight="true" outlineLevel="0" collapsed="false">
      <c r="A53" s="26"/>
      <c r="B53" s="24"/>
      <c r="C53" s="25" t="s">
        <v>56</v>
      </c>
      <c r="D53" s="25"/>
      <c r="E53" s="25"/>
      <c r="F53" s="25"/>
      <c r="G53" s="25"/>
      <c r="H53" s="25"/>
    </row>
    <row r="54" customFormat="false" ht="15" hidden="false" customHeight="true" outlineLevel="0" collapsed="false">
      <c r="A54" s="26" t="s">
        <v>57</v>
      </c>
      <c r="B54" s="49" t="s">
        <v>58</v>
      </c>
      <c r="C54" s="50" t="s">
        <v>59</v>
      </c>
      <c r="D54" s="29" t="n">
        <f aca="false">D55+D56+D57</f>
        <v>2663.80266</v>
      </c>
      <c r="E54" s="29" t="n">
        <f aca="false">E55+E56+E57</f>
        <v>37.74426</v>
      </c>
      <c r="F54" s="29" t="n">
        <f aca="false">F55+F56+F57</f>
        <v>64.25807</v>
      </c>
      <c r="G54" s="29" t="n">
        <f aca="false">G55+G56+G57</f>
        <v>0</v>
      </c>
      <c r="H54" s="29" t="n">
        <f aca="false">H55+H56+H57</f>
        <v>2765.80499</v>
      </c>
      <c r="L54" s="42"/>
      <c r="M54" s="42"/>
    </row>
    <row r="55" customFormat="false" ht="15" hidden="false" customHeight="true" outlineLevel="0" collapsed="false">
      <c r="A55" s="26"/>
      <c r="B55" s="24"/>
      <c r="C55" s="30" t="s">
        <v>41</v>
      </c>
      <c r="D55" s="37" t="n">
        <v>0</v>
      </c>
      <c r="E55" s="37" t="n">
        <v>0</v>
      </c>
      <c r="F55" s="37" t="n">
        <v>0</v>
      </c>
      <c r="G55" s="37" t="n">
        <v>0</v>
      </c>
      <c r="H55" s="31" t="n">
        <f aca="false">SUM(D55:G55)</f>
        <v>0</v>
      </c>
      <c r="L55" s="46"/>
      <c r="M55" s="46"/>
    </row>
    <row r="56" customFormat="false" ht="15" hidden="false" customHeight="true" outlineLevel="0" collapsed="false">
      <c r="A56" s="26"/>
      <c r="B56" s="24"/>
      <c r="C56" s="38" t="s">
        <v>42</v>
      </c>
      <c r="D56" s="35" t="n">
        <v>0</v>
      </c>
      <c r="E56" s="35" t="n">
        <v>0</v>
      </c>
      <c r="F56" s="35" t="n">
        <v>0</v>
      </c>
      <c r="G56" s="35" t="n">
        <v>0</v>
      </c>
      <c r="H56" s="45" t="n">
        <f aca="false">SUM(D56:G56)</f>
        <v>0</v>
      </c>
      <c r="L56" s="46"/>
      <c r="M56" s="46"/>
    </row>
    <row r="57" customFormat="false" ht="15" hidden="false" customHeight="true" outlineLevel="0" collapsed="false">
      <c r="A57" s="26"/>
      <c r="C57" s="39" t="s">
        <v>43</v>
      </c>
      <c r="D57" s="37" t="n">
        <v>2663.80266</v>
      </c>
      <c r="E57" s="37" t="n">
        <v>37.74426</v>
      </c>
      <c r="F57" s="37" t="n">
        <v>64.25807</v>
      </c>
      <c r="G57" s="37" t="n">
        <v>0</v>
      </c>
      <c r="H57" s="31" t="n">
        <f aca="false">SUM(D57:G57)</f>
        <v>2765.80499</v>
      </c>
      <c r="L57" s="46"/>
      <c r="M57" s="46"/>
    </row>
    <row r="58" customFormat="false" ht="15" hidden="false" customHeight="true" outlineLevel="0" collapsed="false">
      <c r="A58" s="26" t="s">
        <v>60</v>
      </c>
      <c r="B58" s="49"/>
      <c r="C58" s="25" t="s">
        <v>61</v>
      </c>
      <c r="D58" s="27" t="n">
        <f aca="false">D59+D60+D61</f>
        <v>2663.80266</v>
      </c>
      <c r="E58" s="27" t="n">
        <f aca="false">E59+E60+E61</f>
        <v>37.74426</v>
      </c>
      <c r="F58" s="27" t="n">
        <f aca="false">F59+F60+F61</f>
        <v>64.25807</v>
      </c>
      <c r="G58" s="27" t="n">
        <f aca="false">G59+G60+G61</f>
        <v>0</v>
      </c>
      <c r="H58" s="27" t="n">
        <f aca="false">H59+H60+H61</f>
        <v>2765.80499</v>
      </c>
      <c r="L58" s="46"/>
      <c r="M58" s="46"/>
    </row>
    <row r="59" customFormat="false" ht="15" hidden="false" customHeight="true" outlineLevel="0" collapsed="false">
      <c r="A59" s="26"/>
      <c r="B59" s="49"/>
      <c r="C59" s="30" t="s">
        <v>41</v>
      </c>
      <c r="D59" s="37" t="n">
        <f aca="false">D55</f>
        <v>0</v>
      </c>
      <c r="E59" s="37" t="n">
        <f aca="false">E55</f>
        <v>0</v>
      </c>
      <c r="F59" s="37" t="n">
        <f aca="false">F55</f>
        <v>0</v>
      </c>
      <c r="G59" s="37" t="n">
        <f aca="false">G55</f>
        <v>0</v>
      </c>
      <c r="H59" s="31" t="n">
        <f aca="false">SUM(D59:G59)</f>
        <v>0</v>
      </c>
    </row>
    <row r="60" customFormat="false" ht="15" hidden="false" customHeight="true" outlineLevel="0" collapsed="false">
      <c r="A60" s="26"/>
      <c r="B60" s="49"/>
      <c r="C60" s="38" t="s">
        <v>42</v>
      </c>
      <c r="D60" s="35" t="n">
        <f aca="false">D56</f>
        <v>0</v>
      </c>
      <c r="E60" s="35" t="n">
        <f aca="false">E56</f>
        <v>0</v>
      </c>
      <c r="F60" s="35" t="n">
        <f aca="false">F56</f>
        <v>0</v>
      </c>
      <c r="G60" s="35" t="n">
        <f aca="false">G56</f>
        <v>0</v>
      </c>
      <c r="H60" s="45" t="n">
        <f aca="false">SUM(D60:G60)</f>
        <v>0</v>
      </c>
    </row>
    <row r="61" customFormat="false" ht="15" hidden="false" customHeight="true" outlineLevel="0" collapsed="false">
      <c r="A61" s="26"/>
      <c r="B61" s="49"/>
      <c r="C61" s="39" t="s">
        <v>43</v>
      </c>
      <c r="D61" s="37" t="n">
        <f aca="false">D57</f>
        <v>2663.80266</v>
      </c>
      <c r="E61" s="37" t="n">
        <f aca="false">E57</f>
        <v>37.74426</v>
      </c>
      <c r="F61" s="37" t="n">
        <f aca="false">F57</f>
        <v>64.25807</v>
      </c>
      <c r="G61" s="37" t="n">
        <f aca="false">G57</f>
        <v>0</v>
      </c>
      <c r="H61" s="31" t="n">
        <f aca="false">SUM(D61:G61)</f>
        <v>2765.80499</v>
      </c>
    </row>
    <row r="62" customFormat="false" ht="15" hidden="false" customHeight="true" outlineLevel="0" collapsed="false">
      <c r="A62" s="26" t="s">
        <v>62</v>
      </c>
      <c r="B62" s="24"/>
      <c r="C62" s="25" t="s">
        <v>63</v>
      </c>
      <c r="D62" s="27" t="n">
        <f aca="false">D63+D64+D65</f>
        <v>81343.53182</v>
      </c>
      <c r="E62" s="27" t="n">
        <f aca="false">E63+E64+E65</f>
        <v>15353.65869</v>
      </c>
      <c r="F62" s="27" t="n">
        <f aca="false">F63+F64+F65</f>
        <v>27437.68305</v>
      </c>
      <c r="G62" s="27" t="n">
        <f aca="false">G63+G64+G65</f>
        <v>120.08296</v>
      </c>
      <c r="H62" s="27" t="n">
        <f aca="false">H63+H64+H65</f>
        <v>124254.95652</v>
      </c>
    </row>
    <row r="63" customFormat="false" ht="15" hidden="false" customHeight="true" outlineLevel="0" collapsed="false">
      <c r="A63" s="26"/>
      <c r="B63" s="24"/>
      <c r="C63" s="30" t="s">
        <v>41</v>
      </c>
      <c r="D63" s="37" t="n">
        <f aca="false">D32+D41+D50+D59</f>
        <v>12142.02775</v>
      </c>
      <c r="E63" s="37" t="n">
        <f aca="false">E32+E41+E50+E59</f>
        <v>3027.39</v>
      </c>
      <c r="F63" s="37" t="n">
        <f aca="false">F32+F41+F50+F59</f>
        <v>8148.86399</v>
      </c>
      <c r="G63" s="37" t="n">
        <f aca="false">G32+G41+G50+G59</f>
        <v>725.00149</v>
      </c>
      <c r="H63" s="37" t="n">
        <f aca="false">H32+H41+H50+H59</f>
        <v>24043.28323</v>
      </c>
    </row>
    <row r="64" s="36" customFormat="true" ht="15" hidden="false" customHeight="true" outlineLevel="0" collapsed="false">
      <c r="A64" s="32"/>
      <c r="B64" s="33"/>
      <c r="C64" s="38" t="s">
        <v>64</v>
      </c>
      <c r="D64" s="35" t="n">
        <f aca="false">D33+D42+D51+D60</f>
        <v>-6398.3677</v>
      </c>
      <c r="E64" s="35" t="n">
        <f aca="false">E33+E42+E51+E60</f>
        <v>-2013.81549</v>
      </c>
      <c r="F64" s="35" t="n">
        <f aca="false">F33+F42+F51+F60</f>
        <v>-8028.47376</v>
      </c>
      <c r="G64" s="35" t="n">
        <f aca="false">G33+G42+G51+G60</f>
        <v>-606.66159</v>
      </c>
      <c r="H64" s="35" t="n">
        <f aca="false">H33+H42+H51+H60</f>
        <v>-17047.31854</v>
      </c>
    </row>
    <row r="65" customFormat="false" ht="15" hidden="false" customHeight="true" outlineLevel="0" collapsed="false">
      <c r="A65" s="26"/>
      <c r="B65" s="24"/>
      <c r="C65" s="39" t="s">
        <v>65</v>
      </c>
      <c r="D65" s="37" t="n">
        <f aca="false">D34+D43+D52+D61</f>
        <v>75599.87177</v>
      </c>
      <c r="E65" s="37" t="n">
        <f aca="false">E34+E43+E52+E61</f>
        <v>14340.08418</v>
      </c>
      <c r="F65" s="37" t="n">
        <f aca="false">F34+F43+F52+F61</f>
        <v>27317.29282</v>
      </c>
      <c r="G65" s="37" t="n">
        <f aca="false">G34+G43+G52+G61</f>
        <v>1.74306</v>
      </c>
      <c r="H65" s="37" t="n">
        <f aca="false">H34+H43+H52+H61</f>
        <v>117258.99183</v>
      </c>
    </row>
    <row r="66" customFormat="false" ht="15" hidden="false" customHeight="true" outlineLevel="0" collapsed="false">
      <c r="A66" s="26"/>
      <c r="B66" s="24"/>
      <c r="C66" s="25" t="s">
        <v>66</v>
      </c>
      <c r="D66" s="25"/>
      <c r="E66" s="25"/>
      <c r="F66" s="25"/>
      <c r="G66" s="25"/>
      <c r="H66" s="25"/>
    </row>
    <row r="67" customFormat="false" ht="15" hidden="false" customHeight="true" outlineLevel="0" collapsed="false">
      <c r="A67" s="26" t="s">
        <v>67</v>
      </c>
      <c r="B67" s="51"/>
      <c r="C67" s="52" t="s">
        <v>68</v>
      </c>
      <c r="D67" s="29" t="n">
        <f aca="false">D68+D69+D70</f>
        <v>1138.80944548</v>
      </c>
      <c r="E67" s="29" t="n">
        <f aca="false">E68+E69+E70</f>
        <v>214.95122166</v>
      </c>
      <c r="F67" s="29" t="n">
        <f aca="false">F68+F69+F70</f>
        <v>0</v>
      </c>
      <c r="G67" s="29" t="n">
        <f aca="false">G68+G69+G70</f>
        <v>0</v>
      </c>
      <c r="H67" s="29" t="n">
        <f aca="false">H68+H69+H70</f>
        <v>1353.76066714</v>
      </c>
    </row>
    <row r="68" customFormat="false" ht="36" hidden="false" customHeight="true" outlineLevel="0" collapsed="false">
      <c r="A68" s="26"/>
      <c r="B68" s="51" t="s">
        <v>69</v>
      </c>
      <c r="C68" s="30" t="s">
        <v>70</v>
      </c>
      <c r="D68" s="31" t="n">
        <f aca="false">D63*0.014</f>
        <v>169.9883885</v>
      </c>
      <c r="E68" s="31" t="n">
        <f aca="false">E63*0.014</f>
        <v>42.38346</v>
      </c>
      <c r="F68" s="31" t="n">
        <v>0</v>
      </c>
      <c r="G68" s="31" t="n">
        <v>0</v>
      </c>
      <c r="H68" s="31" t="n">
        <f aca="false">SUM(D68:G68)</f>
        <v>212.3718485</v>
      </c>
    </row>
    <row r="69" s="36" customFormat="true" ht="32.25" hidden="false" customHeight="true" outlineLevel="0" collapsed="false">
      <c r="A69" s="32"/>
      <c r="B69" s="51" t="s">
        <v>69</v>
      </c>
      <c r="C69" s="38" t="s">
        <v>71</v>
      </c>
      <c r="D69" s="45" t="n">
        <f aca="false">D64*0.014</f>
        <v>-89.5771478</v>
      </c>
      <c r="E69" s="45" t="n">
        <f aca="false">E64*0.014</f>
        <v>-28.19341686</v>
      </c>
      <c r="F69" s="45" t="n">
        <v>0</v>
      </c>
      <c r="G69" s="45" t="n">
        <v>0</v>
      </c>
      <c r="H69" s="45" t="n">
        <f aca="false">SUM(D69:G69)</f>
        <v>-117.77056466</v>
      </c>
    </row>
    <row r="70" customFormat="false" ht="60" hidden="false" customHeight="true" outlineLevel="0" collapsed="false">
      <c r="A70" s="26"/>
      <c r="B70" s="51" t="s">
        <v>72</v>
      </c>
      <c r="C70" s="39" t="s">
        <v>73</v>
      </c>
      <c r="D70" s="31" t="n">
        <f aca="false">D65*1.4%</f>
        <v>1058.39820478</v>
      </c>
      <c r="E70" s="31" t="n">
        <f aca="false">E65*1.4%</f>
        <v>200.76117852</v>
      </c>
      <c r="F70" s="31" t="n">
        <v>0</v>
      </c>
      <c r="G70" s="31" t="n">
        <v>0</v>
      </c>
      <c r="H70" s="31" t="n">
        <f aca="false">SUM(D70:G70)</f>
        <v>1259.1593833</v>
      </c>
    </row>
    <row r="71" customFormat="false" ht="15" hidden="false" customHeight="true" outlineLevel="0" collapsed="false">
      <c r="A71" s="26" t="s">
        <v>74</v>
      </c>
      <c r="B71" s="24"/>
      <c r="C71" s="25" t="s">
        <v>75</v>
      </c>
      <c r="D71" s="27" t="n">
        <f aca="false">D72+D73+D74</f>
        <v>1138.80944548</v>
      </c>
      <c r="E71" s="27" t="n">
        <f aca="false">E72+E73+E74</f>
        <v>214.95122166</v>
      </c>
      <c r="F71" s="27" t="n">
        <f aca="false">F72+F73+F74</f>
        <v>0</v>
      </c>
      <c r="G71" s="27" t="n">
        <f aca="false">G72+G73+G74</f>
        <v>0</v>
      </c>
      <c r="H71" s="27" t="n">
        <f aca="false">H72+H73+H74</f>
        <v>1353.76066714</v>
      </c>
    </row>
    <row r="72" customFormat="false" ht="15" hidden="false" customHeight="true" outlineLevel="0" collapsed="false">
      <c r="A72" s="26"/>
      <c r="B72" s="24"/>
      <c r="C72" s="30" t="s">
        <v>41</v>
      </c>
      <c r="D72" s="37" t="n">
        <f aca="false">D68</f>
        <v>169.9883885</v>
      </c>
      <c r="E72" s="37" t="n">
        <f aca="false">E68</f>
        <v>42.38346</v>
      </c>
      <c r="F72" s="37" t="n">
        <f aca="false">F68</f>
        <v>0</v>
      </c>
      <c r="G72" s="37" t="n">
        <f aca="false">G68</f>
        <v>0</v>
      </c>
      <c r="H72" s="37" t="n">
        <f aca="false">H68</f>
        <v>212.3718485</v>
      </c>
    </row>
    <row r="73" s="36" customFormat="true" ht="15" hidden="false" customHeight="true" outlineLevel="0" collapsed="false">
      <c r="A73" s="32"/>
      <c r="B73" s="33"/>
      <c r="C73" s="38" t="s">
        <v>42</v>
      </c>
      <c r="D73" s="35" t="n">
        <f aca="false">D69</f>
        <v>-89.5771478</v>
      </c>
      <c r="E73" s="35" t="n">
        <f aca="false">E69</f>
        <v>-28.19341686</v>
      </c>
      <c r="F73" s="35" t="n">
        <f aca="false">F69</f>
        <v>0</v>
      </c>
      <c r="G73" s="35" t="n">
        <f aca="false">G69</f>
        <v>0</v>
      </c>
      <c r="H73" s="35" t="n">
        <f aca="false">H69</f>
        <v>-117.77056466</v>
      </c>
    </row>
    <row r="74" customFormat="false" ht="15" hidden="false" customHeight="true" outlineLevel="0" collapsed="false">
      <c r="A74" s="26"/>
      <c r="B74" s="24"/>
      <c r="C74" s="39" t="s">
        <v>43</v>
      </c>
      <c r="D74" s="37" t="n">
        <f aca="false">D70</f>
        <v>1058.39820478</v>
      </c>
      <c r="E74" s="37" t="n">
        <f aca="false">E70</f>
        <v>200.76117852</v>
      </c>
      <c r="F74" s="37" t="n">
        <f aca="false">F70</f>
        <v>0</v>
      </c>
      <c r="G74" s="37" t="n">
        <f aca="false">G70</f>
        <v>0</v>
      </c>
      <c r="H74" s="37" t="n">
        <f aca="false">H70</f>
        <v>1259.1593833</v>
      </c>
    </row>
    <row r="75" customFormat="false" ht="15" hidden="false" customHeight="true" outlineLevel="0" collapsed="false">
      <c r="A75" s="26" t="s">
        <v>76</v>
      </c>
      <c r="B75" s="24"/>
      <c r="C75" s="25" t="s">
        <v>77</v>
      </c>
      <c r="D75" s="27" t="n">
        <f aca="false">D76+D77+D78</f>
        <v>82482.34126548</v>
      </c>
      <c r="E75" s="27" t="n">
        <f aca="false">E76+E77+E78</f>
        <v>15568.60991166</v>
      </c>
      <c r="F75" s="27" t="n">
        <f aca="false">F76+F77+F78</f>
        <v>27437.68305</v>
      </c>
      <c r="G75" s="27" t="n">
        <f aca="false">G76+G77+G78</f>
        <v>120.08296</v>
      </c>
      <c r="H75" s="27" t="n">
        <f aca="false">H76+H77+H78</f>
        <v>125608.71718714</v>
      </c>
    </row>
    <row r="76" customFormat="false" ht="15" hidden="false" customHeight="true" outlineLevel="0" collapsed="false">
      <c r="A76" s="26"/>
      <c r="B76" s="24"/>
      <c r="C76" s="30" t="s">
        <v>41</v>
      </c>
      <c r="D76" s="37" t="n">
        <f aca="false">D63+D72</f>
        <v>12312.0161385</v>
      </c>
      <c r="E76" s="37" t="n">
        <f aca="false">E63+E72</f>
        <v>3069.77346</v>
      </c>
      <c r="F76" s="37" t="n">
        <f aca="false">F63+F72</f>
        <v>8148.86399</v>
      </c>
      <c r="G76" s="37" t="n">
        <f aca="false">G63+G72</f>
        <v>725.00149</v>
      </c>
      <c r="H76" s="37" t="n">
        <f aca="false">H63+H72</f>
        <v>24255.6550785</v>
      </c>
    </row>
    <row r="77" s="36" customFormat="true" ht="15" hidden="false" customHeight="true" outlineLevel="0" collapsed="false">
      <c r="A77" s="32"/>
      <c r="B77" s="33"/>
      <c r="C77" s="38" t="s">
        <v>64</v>
      </c>
      <c r="D77" s="35" t="n">
        <f aca="false">D64+D73</f>
        <v>-6487.9448478</v>
      </c>
      <c r="E77" s="35" t="n">
        <f aca="false">E64+E73</f>
        <v>-2042.00890686</v>
      </c>
      <c r="F77" s="35" t="n">
        <f aca="false">F64+F73</f>
        <v>-8028.47376</v>
      </c>
      <c r="G77" s="35" t="n">
        <f aca="false">G64+G73</f>
        <v>-606.66159</v>
      </c>
      <c r="H77" s="35" t="n">
        <f aca="false">H64+H73</f>
        <v>-17165.08910466</v>
      </c>
    </row>
    <row r="78" customFormat="false" ht="15" hidden="false" customHeight="true" outlineLevel="0" collapsed="false">
      <c r="A78" s="26"/>
      <c r="B78" s="24"/>
      <c r="C78" s="39" t="s">
        <v>65</v>
      </c>
      <c r="D78" s="37" t="n">
        <f aca="false">D65+D74</f>
        <v>76658.26997478</v>
      </c>
      <c r="E78" s="37" t="n">
        <f aca="false">E65+E74</f>
        <v>14540.84535852</v>
      </c>
      <c r="F78" s="37" t="n">
        <f aca="false">F65+F74</f>
        <v>27317.29282</v>
      </c>
      <c r="G78" s="37" t="n">
        <f aca="false">G65+G74</f>
        <v>1.74306</v>
      </c>
      <c r="H78" s="37" t="n">
        <f aca="false">H65+H74</f>
        <v>118518.1512133</v>
      </c>
    </row>
    <row r="79" customFormat="false" ht="15" hidden="false" customHeight="true" outlineLevel="0" collapsed="false">
      <c r="A79" s="26"/>
      <c r="B79" s="24"/>
      <c r="C79" s="25" t="s">
        <v>78</v>
      </c>
      <c r="D79" s="25"/>
      <c r="E79" s="25"/>
      <c r="F79" s="25"/>
      <c r="G79" s="25"/>
      <c r="H79" s="25"/>
    </row>
    <row r="80" customFormat="false" ht="20.25" hidden="false" customHeight="true" outlineLevel="0" collapsed="false">
      <c r="A80" s="26" t="s">
        <v>79</v>
      </c>
      <c r="B80" s="51"/>
      <c r="C80" s="52" t="s">
        <v>80</v>
      </c>
      <c r="D80" s="29" t="n">
        <f aca="false">SUM(D81:D83)</f>
        <v>0</v>
      </c>
      <c r="E80" s="29" t="n">
        <f aca="false">SUM(E81:E83)</f>
        <v>0</v>
      </c>
      <c r="F80" s="29" t="n">
        <f aca="false">SUM(F81:F83)</f>
        <v>0</v>
      </c>
      <c r="G80" s="29" t="n">
        <f aca="false">SUM(G81:G83)</f>
        <v>35.4528298692</v>
      </c>
      <c r="H80" s="29" t="n">
        <f aca="false">SUM(H81:H83)</f>
        <v>35.4528298692</v>
      </c>
    </row>
    <row r="81" customFormat="false" ht="39" hidden="false" customHeight="true" outlineLevel="0" collapsed="false">
      <c r="A81" s="26"/>
      <c r="B81" s="51" t="s">
        <v>81</v>
      </c>
      <c r="C81" s="30" t="s">
        <v>82</v>
      </c>
      <c r="D81" s="31" t="n">
        <v>0</v>
      </c>
      <c r="E81" s="31" t="n">
        <v>0</v>
      </c>
      <c r="F81" s="31" t="n">
        <v>0</v>
      </c>
      <c r="G81" s="31" t="n">
        <f aca="false">(D76+E76+F76+G76)*0.5%</f>
        <v>121.2782753925</v>
      </c>
      <c r="H81" s="31" t="n">
        <f aca="false">SUM(D81:G81)</f>
        <v>121.2782753925</v>
      </c>
    </row>
    <row r="82" s="36" customFormat="true" ht="39" hidden="false" customHeight="true" outlineLevel="0" collapsed="false">
      <c r="A82" s="32"/>
      <c r="B82" s="51" t="s">
        <v>81</v>
      </c>
      <c r="C82" s="38" t="s">
        <v>83</v>
      </c>
      <c r="D82" s="45" t="n">
        <v>0</v>
      </c>
      <c r="E82" s="45" t="n">
        <v>0</v>
      </c>
      <c r="F82" s="45" t="n">
        <v>0</v>
      </c>
      <c r="G82" s="45" t="n">
        <f aca="false">(D77+E77+F77+G77)*0.5%</f>
        <v>-85.8254455233</v>
      </c>
      <c r="H82" s="45" t="n">
        <f aca="false">SUM(D82:G82)</f>
        <v>-85.8254455233</v>
      </c>
    </row>
    <row r="83" customFormat="false" ht="24.75" hidden="false" customHeight="true" outlineLevel="0" collapsed="false">
      <c r="A83" s="26"/>
      <c r="B83" s="51"/>
      <c r="C83" s="39" t="s">
        <v>84</v>
      </c>
      <c r="D83" s="37" t="n">
        <v>0</v>
      </c>
      <c r="E83" s="37" t="n">
        <v>0</v>
      </c>
      <c r="F83" s="37" t="n">
        <v>0</v>
      </c>
      <c r="G83" s="37" t="n">
        <v>0</v>
      </c>
      <c r="H83" s="37" t="n">
        <f aca="false">SUM(D83:G83)</f>
        <v>0</v>
      </c>
    </row>
    <row r="84" customFormat="false" ht="18" hidden="false" customHeight="true" outlineLevel="0" collapsed="false">
      <c r="A84" s="26" t="s">
        <v>85</v>
      </c>
      <c r="B84" s="24" t="s">
        <v>86</v>
      </c>
      <c r="C84" s="52" t="s">
        <v>87</v>
      </c>
      <c r="D84" s="55" t="n">
        <f aca="false">SUM(D85:D87)</f>
        <v>0</v>
      </c>
      <c r="E84" s="55" t="n">
        <f aca="false">SUM(E85:E87)</f>
        <v>0</v>
      </c>
      <c r="F84" s="55" t="n">
        <f aca="false">SUM(F85:F87)</f>
        <v>0</v>
      </c>
      <c r="G84" s="55" t="n">
        <f aca="false">SUM(G85:G87)</f>
        <v>2539.9594</v>
      </c>
      <c r="H84" s="55" t="n">
        <f aca="false">SUM(H85:H87)</f>
        <v>2539.9594</v>
      </c>
    </row>
    <row r="85" customFormat="false" ht="18" hidden="false" customHeight="true" outlineLevel="0" collapsed="false">
      <c r="A85" s="26"/>
      <c r="B85" s="51"/>
      <c r="C85" s="30" t="s">
        <v>41</v>
      </c>
      <c r="D85" s="37" t="n">
        <f aca="false">'ОСР_09-01 тек'!D45</f>
        <v>0</v>
      </c>
      <c r="E85" s="37" t="n">
        <f aca="false">'ОСР_09-01 тек'!E45</f>
        <v>0</v>
      </c>
      <c r="F85" s="37" t="n">
        <f aca="false">'ОСР_09-01 тек'!F45</f>
        <v>0</v>
      </c>
      <c r="G85" s="37" t="n">
        <f aca="false">'ОСР_09-01 тек'!G45</f>
        <v>0</v>
      </c>
      <c r="H85" s="37" t="n">
        <f aca="false">SUM(D85:G85)</f>
        <v>0</v>
      </c>
    </row>
    <row r="86" s="36" customFormat="true" ht="18" hidden="false" customHeight="true" outlineLevel="0" collapsed="false">
      <c r="A86" s="32"/>
      <c r="B86" s="33"/>
      <c r="C86" s="38" t="s">
        <v>42</v>
      </c>
      <c r="D86" s="35" t="n">
        <f aca="false">'ОСР_09-01 тек'!D46</f>
        <v>0</v>
      </c>
      <c r="E86" s="35" t="n">
        <f aca="false">'ОСР_09-01 тек'!E46</f>
        <v>0</v>
      </c>
      <c r="F86" s="35" t="n">
        <f aca="false">'ОСР_09-01 тек'!F46</f>
        <v>0</v>
      </c>
      <c r="G86" s="35" t="n">
        <f aca="false">'ОСР_09-01 тек'!G46</f>
        <v>0</v>
      </c>
      <c r="H86" s="45" t="n">
        <f aca="false">SUM(D86:G86)</f>
        <v>0</v>
      </c>
    </row>
    <row r="87" customFormat="false" ht="18" hidden="false" customHeight="true" outlineLevel="0" collapsed="false">
      <c r="A87" s="26"/>
      <c r="B87" s="51"/>
      <c r="C87" s="39" t="s">
        <v>43</v>
      </c>
      <c r="D87" s="37" t="n">
        <f aca="false">'ОСР_09-01 тек'!D47</f>
        <v>0</v>
      </c>
      <c r="E87" s="37" t="n">
        <f aca="false">'ОСР_09-01 тек'!E47</f>
        <v>0</v>
      </c>
      <c r="F87" s="37" t="n">
        <f aca="false">'ОСР_09-01 тек'!F47</f>
        <v>0</v>
      </c>
      <c r="G87" s="37" t="n">
        <f aca="false">'ОСР_09-01 тек'!G47</f>
        <v>2539.9594</v>
      </c>
      <c r="H87" s="37" t="n">
        <f aca="false">SUM(D87:G87)</f>
        <v>2539.9594</v>
      </c>
    </row>
    <row r="88" customFormat="false" ht="18" hidden="false" customHeight="true" outlineLevel="0" collapsed="false">
      <c r="A88" s="26" t="s">
        <v>88</v>
      </c>
      <c r="B88" s="24" t="s">
        <v>89</v>
      </c>
      <c r="C88" s="52" t="s">
        <v>90</v>
      </c>
      <c r="D88" s="55" t="n">
        <f aca="false">SUM(D89:D91)</f>
        <v>0</v>
      </c>
      <c r="E88" s="55" t="n">
        <f aca="false">SUM(E89:E91)</f>
        <v>0</v>
      </c>
      <c r="F88" s="55" t="n">
        <f aca="false">SUM(F89:F91)</f>
        <v>0</v>
      </c>
      <c r="G88" s="55" t="n">
        <f aca="false">SUM(G89:G91)</f>
        <v>654.44848</v>
      </c>
      <c r="H88" s="55" t="n">
        <f aca="false">SUM(H89:H91)</f>
        <v>654.44848</v>
      </c>
    </row>
    <row r="89" customFormat="false" ht="18" hidden="false" customHeight="true" outlineLevel="0" collapsed="false">
      <c r="A89" s="26"/>
      <c r="B89" s="51"/>
      <c r="C89" s="30" t="s">
        <v>41</v>
      </c>
      <c r="D89" s="37" t="n">
        <f aca="false">'ОСР_09-02 тек'!D37</f>
        <v>0</v>
      </c>
      <c r="E89" s="37" t="n">
        <f aca="false">'ОСР_09-02 тек'!E37</f>
        <v>0</v>
      </c>
      <c r="F89" s="37" t="n">
        <f aca="false">'ОСР_09-02 тек'!F37</f>
        <v>0</v>
      </c>
      <c r="G89" s="37" t="n">
        <f aca="false">'ОСР_09-02 тек'!G37</f>
        <v>0</v>
      </c>
      <c r="H89" s="37" t="n">
        <f aca="false">SUM(D89:G89)</f>
        <v>0</v>
      </c>
    </row>
    <row r="90" s="36" customFormat="true" ht="18" hidden="false" customHeight="true" outlineLevel="0" collapsed="false">
      <c r="A90" s="32"/>
      <c r="B90" s="33"/>
      <c r="C90" s="38" t="s">
        <v>42</v>
      </c>
      <c r="D90" s="35" t="n">
        <f aca="false">'ОСР_09-02 тек'!D38</f>
        <v>0</v>
      </c>
      <c r="E90" s="35" t="n">
        <f aca="false">'ОСР_09-02 тек'!E38</f>
        <v>0</v>
      </c>
      <c r="F90" s="35" t="n">
        <f aca="false">'ОСР_09-02 тек'!F38</f>
        <v>0</v>
      </c>
      <c r="G90" s="35" t="n">
        <f aca="false">'ОСР_09-02 тек'!G38</f>
        <v>0</v>
      </c>
      <c r="H90" s="45" t="n">
        <f aca="false">SUM(D90:G90)</f>
        <v>0</v>
      </c>
    </row>
    <row r="91" customFormat="false" ht="18" hidden="false" customHeight="true" outlineLevel="0" collapsed="false">
      <c r="A91" s="26"/>
      <c r="B91" s="51"/>
      <c r="C91" s="39" t="s">
        <v>43</v>
      </c>
      <c r="D91" s="37" t="n">
        <f aca="false">'ОСР_09-02 тек'!D39</f>
        <v>0</v>
      </c>
      <c r="E91" s="37" t="n">
        <f aca="false">'ОСР_09-02 тек'!E39</f>
        <v>0</v>
      </c>
      <c r="F91" s="37" t="n">
        <f aca="false">'ОСР_09-02 тек'!F39</f>
        <v>0</v>
      </c>
      <c r="G91" s="37" t="n">
        <f aca="false">'ОСР_09-02 тек'!G39</f>
        <v>654.44848</v>
      </c>
      <c r="H91" s="37" t="n">
        <f aca="false">SUM(D91:G91)</f>
        <v>654.44848</v>
      </c>
    </row>
    <row r="92" customFormat="false" ht="62.25" hidden="false" customHeight="true" outlineLevel="0" collapsed="false">
      <c r="A92" s="26" t="s">
        <v>91</v>
      </c>
      <c r="B92" s="56" t="s">
        <v>92</v>
      </c>
      <c r="C92" s="52" t="s">
        <v>93</v>
      </c>
      <c r="D92" s="55" t="n">
        <f aca="false">SUM(D93:D95)</f>
        <v>0</v>
      </c>
      <c r="E92" s="55" t="n">
        <f aca="false">SUM(E93:E95)</f>
        <v>0</v>
      </c>
      <c r="F92" s="55" t="n">
        <f aca="false">SUM(F93:F95)</f>
        <v>0</v>
      </c>
      <c r="G92" s="55" t="n">
        <f aca="false">SUM(G93:G95)</f>
        <v>820.7920379997</v>
      </c>
      <c r="H92" s="55" t="n">
        <f aca="false">SUM(H93:H95)</f>
        <v>820.7920379997</v>
      </c>
    </row>
    <row r="93" customFormat="false" ht="18" hidden="false" customHeight="true" outlineLevel="0" collapsed="false">
      <c r="A93" s="26"/>
      <c r="B93" s="51"/>
      <c r="C93" s="30" t="s">
        <v>41</v>
      </c>
      <c r="D93" s="37" t="n">
        <v>0</v>
      </c>
      <c r="E93" s="37" t="n">
        <v>0</v>
      </c>
      <c r="F93" s="37" t="n">
        <v>0</v>
      </c>
      <c r="G93" s="37" t="n">
        <v>0</v>
      </c>
      <c r="H93" s="37" t="n">
        <f aca="false">SUM(D93:G93)</f>
        <v>0</v>
      </c>
    </row>
    <row r="94" s="36" customFormat="true" ht="18" hidden="false" customHeight="true" outlineLevel="0" collapsed="false">
      <c r="A94" s="32"/>
      <c r="B94" s="33"/>
      <c r="C94" s="38" t="s">
        <v>42</v>
      </c>
      <c r="D94" s="45" t="n">
        <v>0</v>
      </c>
      <c r="E94" s="45" t="n">
        <v>0</v>
      </c>
      <c r="F94" s="45" t="n">
        <v>0</v>
      </c>
      <c r="G94" s="45" t="n">
        <v>0</v>
      </c>
      <c r="H94" s="45" t="n">
        <f aca="false">SUM(D94:G94)</f>
        <v>0</v>
      </c>
    </row>
    <row r="95" customFormat="false" ht="33.75" hidden="false" customHeight="true" outlineLevel="0" collapsed="false">
      <c r="A95" s="26"/>
      <c r="B95" s="51" t="s">
        <v>94</v>
      </c>
      <c r="C95" s="39" t="s">
        <v>43</v>
      </c>
      <c r="D95" s="37" t="n">
        <v>0</v>
      </c>
      <c r="E95" s="37" t="n">
        <v>0</v>
      </c>
      <c r="F95" s="37" t="n">
        <v>0</v>
      </c>
      <c r="G95" s="37" t="n">
        <f aca="false">(D78+E78)*0.9%</f>
        <v>820.7920379997</v>
      </c>
      <c r="H95" s="37" t="n">
        <f aca="false">D95+E95+F95+G95</f>
        <v>820.7920379997</v>
      </c>
      <c r="J95" s="57" t="n">
        <f aca="false">D78+E78</f>
        <v>91199.1153333</v>
      </c>
    </row>
    <row r="96" customFormat="false" ht="15" hidden="false" customHeight="true" outlineLevel="0" collapsed="false">
      <c r="A96" s="26" t="s">
        <v>95</v>
      </c>
      <c r="B96" s="24"/>
      <c r="C96" s="25" t="s">
        <v>96</v>
      </c>
      <c r="D96" s="27" t="n">
        <f aca="false">D97+D98+D99</f>
        <v>0</v>
      </c>
      <c r="E96" s="27" t="n">
        <f aca="false">SUM(E97:E99)</f>
        <v>0</v>
      </c>
      <c r="F96" s="27" t="n">
        <f aca="false">SUM(F97:F99)</f>
        <v>0</v>
      </c>
      <c r="G96" s="27" t="n">
        <f aca="false">SUM(G97:G99)</f>
        <v>4050.6527478689</v>
      </c>
      <c r="H96" s="27" t="n">
        <f aca="false">SUM(H97:H99)</f>
        <v>4050.6527478689</v>
      </c>
    </row>
    <row r="97" customFormat="false" ht="15" hidden="false" customHeight="true" outlineLevel="0" collapsed="false">
      <c r="A97" s="26"/>
      <c r="B97" s="24"/>
      <c r="C97" s="30" t="s">
        <v>41</v>
      </c>
      <c r="D97" s="37" t="n">
        <f aca="false">D81+D85+D89+D93</f>
        <v>0</v>
      </c>
      <c r="E97" s="37" t="n">
        <f aca="false">E81+E85+E89+E93</f>
        <v>0</v>
      </c>
      <c r="F97" s="37" t="n">
        <f aca="false">F81+F85+F89+F93</f>
        <v>0</v>
      </c>
      <c r="G97" s="37" t="n">
        <f aca="false">G81+G85+G89+G93</f>
        <v>121.2782753925</v>
      </c>
      <c r="H97" s="37" t="n">
        <f aca="false">H81+H85+H89+H93</f>
        <v>121.2782753925</v>
      </c>
    </row>
    <row r="98" s="36" customFormat="true" ht="15" hidden="false" customHeight="true" outlineLevel="0" collapsed="false">
      <c r="A98" s="32"/>
      <c r="B98" s="33"/>
      <c r="C98" s="38" t="s">
        <v>42</v>
      </c>
      <c r="D98" s="35" t="n">
        <f aca="false">D82+D86+D90+D94</f>
        <v>0</v>
      </c>
      <c r="E98" s="35" t="n">
        <f aca="false">E82+E86+E90+E94</f>
        <v>0</v>
      </c>
      <c r="F98" s="35" t="n">
        <f aca="false">F82+F86+F90+F94</f>
        <v>0</v>
      </c>
      <c r="G98" s="35" t="n">
        <f aca="false">G82+G86+G90+G94</f>
        <v>-85.8254455233</v>
      </c>
      <c r="H98" s="35" t="n">
        <f aca="false">H82+H86+H90+H94</f>
        <v>-85.8254455233</v>
      </c>
    </row>
    <row r="99" customFormat="false" ht="15" hidden="false" customHeight="true" outlineLevel="0" collapsed="false">
      <c r="A99" s="26"/>
      <c r="B99" s="24"/>
      <c r="C99" s="39" t="s">
        <v>43</v>
      </c>
      <c r="D99" s="37" t="n">
        <f aca="false">D83+D87+D91+D95</f>
        <v>0</v>
      </c>
      <c r="E99" s="37" t="n">
        <f aca="false">E83+E87+E91+E95</f>
        <v>0</v>
      </c>
      <c r="F99" s="37" t="n">
        <f aca="false">F83+F87+F91+F95</f>
        <v>0</v>
      </c>
      <c r="G99" s="37" t="n">
        <f aca="false">G83+G87+G91+G95</f>
        <v>4015.1999179997</v>
      </c>
      <c r="H99" s="37" t="n">
        <f aca="false">H83+H87+H91+H95</f>
        <v>4015.1999179997</v>
      </c>
    </row>
    <row r="100" customFormat="false" ht="15" hidden="false" customHeight="true" outlineLevel="0" collapsed="false">
      <c r="A100" s="26" t="s">
        <v>97</v>
      </c>
      <c r="B100" s="24"/>
      <c r="C100" s="25" t="s">
        <v>98</v>
      </c>
      <c r="D100" s="27" t="n">
        <f aca="false">SUM(D101:D103)</f>
        <v>82482.34126548</v>
      </c>
      <c r="E100" s="27" t="n">
        <f aca="false">SUM(E101:E103)</f>
        <v>15568.60991166</v>
      </c>
      <c r="F100" s="27" t="n">
        <f aca="false">SUM(F101:F103)</f>
        <v>27437.68305</v>
      </c>
      <c r="G100" s="27" t="n">
        <f aca="false">SUM(G101:G103)</f>
        <v>4170.7357078689</v>
      </c>
      <c r="H100" s="27" t="n">
        <f aca="false">SUM(H101:H103)</f>
        <v>129659.369935009</v>
      </c>
    </row>
    <row r="101" customFormat="false" ht="15" hidden="false" customHeight="true" outlineLevel="0" collapsed="false">
      <c r="A101" s="26"/>
      <c r="B101" s="24"/>
      <c r="C101" s="30" t="s">
        <v>41</v>
      </c>
      <c r="D101" s="37" t="n">
        <f aca="false">D76+D97</f>
        <v>12312.0161385</v>
      </c>
      <c r="E101" s="37" t="n">
        <f aca="false">E76+E97</f>
        <v>3069.77346</v>
      </c>
      <c r="F101" s="37" t="n">
        <f aca="false">F76+F97</f>
        <v>8148.86399</v>
      </c>
      <c r="G101" s="37" t="n">
        <f aca="false">G76+G97</f>
        <v>846.2797653925</v>
      </c>
      <c r="H101" s="37" t="n">
        <f aca="false">H76+H97</f>
        <v>24376.9333538925</v>
      </c>
      <c r="J101" s="57" t="n">
        <f aca="false">D101+E101+F101+G101</f>
        <v>24376.9333538925</v>
      </c>
    </row>
    <row r="102" s="36" customFormat="true" ht="15" hidden="false" customHeight="true" outlineLevel="0" collapsed="false">
      <c r="A102" s="32"/>
      <c r="B102" s="33"/>
      <c r="C102" s="38" t="s">
        <v>42</v>
      </c>
      <c r="D102" s="35" t="n">
        <f aca="false">D77+D98</f>
        <v>-6487.9448478</v>
      </c>
      <c r="E102" s="35" t="n">
        <f aca="false">E77+E98</f>
        <v>-2042.00890686</v>
      </c>
      <c r="F102" s="35" t="n">
        <f aca="false">F77+F98</f>
        <v>-8028.47376</v>
      </c>
      <c r="G102" s="35" t="n">
        <f aca="false">G77+G98</f>
        <v>-692.4870355233</v>
      </c>
      <c r="H102" s="35" t="n">
        <f aca="false">H77+H98</f>
        <v>-17250.9145501833</v>
      </c>
      <c r="J102" s="71" t="n">
        <f aca="false">D102+E102+F102+G102</f>
        <v>-17250.9145501833</v>
      </c>
    </row>
    <row r="103" customFormat="false" ht="15" hidden="false" customHeight="true" outlineLevel="0" collapsed="false">
      <c r="A103" s="26"/>
      <c r="B103" s="24"/>
      <c r="C103" s="39" t="s">
        <v>43</v>
      </c>
      <c r="D103" s="37" t="n">
        <f aca="false">D78+D99</f>
        <v>76658.26997478</v>
      </c>
      <c r="E103" s="37" t="n">
        <f aca="false">E78+E99</f>
        <v>14540.84535852</v>
      </c>
      <c r="F103" s="37" t="n">
        <f aca="false">F78+F99</f>
        <v>27317.29282</v>
      </c>
      <c r="G103" s="37" t="n">
        <f aca="false">G78+G99</f>
        <v>4016.9429779997</v>
      </c>
      <c r="H103" s="37" t="n">
        <f aca="false">H78+H99</f>
        <v>122533.3511313</v>
      </c>
      <c r="J103" s="57" t="n">
        <f aca="false">D103+E103+F103+G103</f>
        <v>122533.3511313</v>
      </c>
    </row>
    <row r="104" customFormat="false" ht="24.75" hidden="false" customHeight="true" outlineLevel="0" collapsed="false">
      <c r="A104" s="26"/>
      <c r="B104" s="24"/>
      <c r="C104" s="25" t="s">
        <v>99</v>
      </c>
      <c r="D104" s="25"/>
      <c r="E104" s="25"/>
      <c r="F104" s="25"/>
      <c r="G104" s="25"/>
      <c r="H104" s="25"/>
    </row>
    <row r="105" customFormat="false" ht="90" hidden="false" customHeight="true" outlineLevel="0" collapsed="false">
      <c r="A105" s="26" t="s">
        <v>100</v>
      </c>
      <c r="B105" s="58" t="s">
        <v>101</v>
      </c>
      <c r="C105" s="59" t="s">
        <v>102</v>
      </c>
      <c r="D105" s="29" t="n">
        <f aca="false">SUM(D106:D108)</f>
        <v>0</v>
      </c>
      <c r="E105" s="29" t="n">
        <f aca="false">SUM(E106:E108)</f>
        <v>0</v>
      </c>
      <c r="F105" s="29" t="n">
        <f aca="false">SUM(F106:F108)</f>
        <v>0</v>
      </c>
      <c r="G105" s="29" t="n">
        <f aca="false">SUM(G106:G108)</f>
        <v>1782.81</v>
      </c>
      <c r="H105" s="29" t="n">
        <f aca="false">SUM(H106:H108)</f>
        <v>1782.81</v>
      </c>
    </row>
    <row r="106" customFormat="false" ht="19.5" hidden="false" customHeight="true" outlineLevel="0" collapsed="false">
      <c r="A106" s="26"/>
      <c r="B106" s="24"/>
      <c r="C106" s="30" t="s">
        <v>41</v>
      </c>
      <c r="D106" s="37" t="n">
        <v>0</v>
      </c>
      <c r="E106" s="37" t="n">
        <v>0</v>
      </c>
      <c r="F106" s="37" t="n">
        <v>0</v>
      </c>
      <c r="G106" s="37" t="n">
        <f aca="false">ROUND((D101+E101+F101+G101)*1.25%*1.1,2)</f>
        <v>335.18</v>
      </c>
      <c r="H106" s="37" t="n">
        <f aca="false">ROUND(H101*1.25%*1.1,2)</f>
        <v>335.18</v>
      </c>
    </row>
    <row r="107" customFormat="false" ht="20.25" hidden="false" customHeight="true" outlineLevel="0" collapsed="false">
      <c r="A107" s="26"/>
      <c r="B107" s="24"/>
      <c r="C107" s="38" t="s">
        <v>42</v>
      </c>
      <c r="D107" s="35" t="n">
        <v>0</v>
      </c>
      <c r="E107" s="35" t="n">
        <v>0</v>
      </c>
      <c r="F107" s="35" t="n">
        <v>0</v>
      </c>
      <c r="G107" s="35" t="n">
        <f aca="false">ROUND((D102+E102+F102+G102)*1.25%*1.1,2)</f>
        <v>-237.2</v>
      </c>
      <c r="H107" s="35" t="n">
        <f aca="false">ROUND(H102*1.25%*1.1,2)</f>
        <v>-237.2</v>
      </c>
    </row>
    <row r="108" customFormat="false" ht="19.5" hidden="false" customHeight="true" outlineLevel="0" collapsed="false">
      <c r="A108" s="26"/>
      <c r="B108" s="24"/>
      <c r="C108" s="39" t="s">
        <v>43</v>
      </c>
      <c r="D108" s="37" t="n">
        <v>0</v>
      </c>
      <c r="E108" s="37" t="n">
        <v>0</v>
      </c>
      <c r="F108" s="37" t="n">
        <v>0</v>
      </c>
      <c r="G108" s="37" t="n">
        <f aca="false">ROUND((D103+E103+F103+G103)*1.25%*1.1,2)</f>
        <v>1684.83</v>
      </c>
      <c r="H108" s="37" t="n">
        <f aca="false">ROUND(H103*1.25%*1.1,2)</f>
        <v>1684.83</v>
      </c>
    </row>
    <row r="109" customFormat="false" ht="51.75" hidden="false" customHeight="true" outlineLevel="0" collapsed="false">
      <c r="A109" s="26" t="s">
        <v>103</v>
      </c>
      <c r="B109" s="58" t="s">
        <v>104</v>
      </c>
      <c r="C109" s="60" t="s">
        <v>105</v>
      </c>
      <c r="D109" s="29" t="n">
        <f aca="false">SUM(D110:D112)</f>
        <v>0</v>
      </c>
      <c r="E109" s="29" t="n">
        <f aca="false">SUM(E110:E112)</f>
        <v>0</v>
      </c>
      <c r="F109" s="29" t="n">
        <f aca="false">SUM(F110:F112)</f>
        <v>0</v>
      </c>
      <c r="G109" s="29" t="n">
        <f aca="false">SUM(G110:G112)</f>
        <v>2774.71</v>
      </c>
      <c r="H109" s="29" t="n">
        <f aca="false">SUM(H110:H112)</f>
        <v>2774.71</v>
      </c>
    </row>
    <row r="110" customFormat="false" ht="18" hidden="false" customHeight="true" outlineLevel="0" collapsed="false">
      <c r="A110" s="26"/>
      <c r="B110" s="56"/>
      <c r="C110" s="30" t="s">
        <v>41</v>
      </c>
      <c r="D110" s="31" t="n">
        <v>0</v>
      </c>
      <c r="E110" s="31" t="n">
        <v>0</v>
      </c>
      <c r="F110" s="31" t="n">
        <v>0</v>
      </c>
      <c r="G110" s="37" t="n">
        <f aca="false">ROUND((D101+E101+F101+G101)*2.14%,2)</f>
        <v>521.67</v>
      </c>
      <c r="H110" s="31" t="n">
        <f aca="false">ROUND(H101*2.14%,2)</f>
        <v>521.67</v>
      </c>
    </row>
    <row r="111" s="36" customFormat="true" ht="18" hidden="false" customHeight="true" outlineLevel="0" collapsed="false">
      <c r="A111" s="32"/>
      <c r="B111" s="61"/>
      <c r="C111" s="38" t="s">
        <v>42</v>
      </c>
      <c r="D111" s="45" t="n">
        <v>0</v>
      </c>
      <c r="E111" s="45" t="n">
        <v>0</v>
      </c>
      <c r="F111" s="45" t="n">
        <v>0</v>
      </c>
      <c r="G111" s="35" t="n">
        <f aca="false">ROUND((D102+E102+F102+G102)*2.14%,2)</f>
        <v>-369.17</v>
      </c>
      <c r="H111" s="45" t="n">
        <f aca="false">ROUND(H102*2.14%,2)</f>
        <v>-369.17</v>
      </c>
    </row>
    <row r="112" customFormat="false" ht="15" hidden="false" customHeight="true" outlineLevel="0" collapsed="false">
      <c r="A112" s="26"/>
      <c r="B112" s="24"/>
      <c r="C112" s="39" t="s">
        <v>43</v>
      </c>
      <c r="D112" s="37" t="n">
        <v>0</v>
      </c>
      <c r="E112" s="37" t="n">
        <v>0</v>
      </c>
      <c r="F112" s="37" t="n">
        <v>0</v>
      </c>
      <c r="G112" s="37" t="n">
        <f aca="false">ROUND((D103+E103+F103+G103)*2.14%,2)</f>
        <v>2622.21</v>
      </c>
      <c r="H112" s="31" t="n">
        <f aca="false">ROUND(H103*2.14%,2)</f>
        <v>2622.21</v>
      </c>
    </row>
    <row r="113" customFormat="false" ht="17.25" hidden="false" customHeight="true" outlineLevel="0" collapsed="false">
      <c r="A113" s="26" t="s">
        <v>106</v>
      </c>
      <c r="B113" s="24"/>
      <c r="C113" s="25" t="s">
        <v>107</v>
      </c>
      <c r="D113" s="62" t="n">
        <f aca="false">SUM(D114:D116)</f>
        <v>0</v>
      </c>
      <c r="E113" s="62" t="n">
        <f aca="false">SUM(E114:E116)</f>
        <v>0</v>
      </c>
      <c r="F113" s="62" t="n">
        <f aca="false">SUM(F114:F116)</f>
        <v>0</v>
      </c>
      <c r="G113" s="29" t="n">
        <f aca="false">SUM(G114:G116)</f>
        <v>4557.52</v>
      </c>
      <c r="H113" s="29" t="n">
        <f aca="false">SUM(H114:H116)</f>
        <v>4557.52</v>
      </c>
    </row>
    <row r="114" customFormat="false" ht="17.25" hidden="false" customHeight="true" outlineLevel="0" collapsed="false">
      <c r="A114" s="26"/>
      <c r="B114" s="24"/>
      <c r="C114" s="30" t="s">
        <v>41</v>
      </c>
      <c r="D114" s="37" t="n">
        <v>0</v>
      </c>
      <c r="E114" s="37" t="n">
        <v>0</v>
      </c>
      <c r="F114" s="37" t="n">
        <v>0</v>
      </c>
      <c r="G114" s="37" t="n">
        <f aca="false">G106+G110</f>
        <v>856.85</v>
      </c>
      <c r="H114" s="37" t="n">
        <f aca="false">SUM(D114:G114)</f>
        <v>856.85</v>
      </c>
    </row>
    <row r="115" s="36" customFormat="true" ht="17.25" hidden="false" customHeight="true" outlineLevel="0" collapsed="false">
      <c r="A115" s="32"/>
      <c r="B115" s="33"/>
      <c r="C115" s="38" t="s">
        <v>64</v>
      </c>
      <c r="D115" s="35" t="n">
        <f aca="false">D111</f>
        <v>0</v>
      </c>
      <c r="E115" s="35" t="n">
        <f aca="false">E111</f>
        <v>0</v>
      </c>
      <c r="F115" s="35" t="n">
        <f aca="false">F111</f>
        <v>0</v>
      </c>
      <c r="G115" s="35" t="n">
        <f aca="false">G107+G111</f>
        <v>-606.37</v>
      </c>
      <c r="H115" s="35" t="n">
        <f aca="false">SUM(D115:G115)</f>
        <v>-606.37</v>
      </c>
    </row>
    <row r="116" customFormat="false" ht="15" hidden="false" customHeight="true" outlineLevel="0" collapsed="false">
      <c r="A116" s="26"/>
      <c r="B116" s="24"/>
      <c r="C116" s="39" t="s">
        <v>43</v>
      </c>
      <c r="D116" s="37" t="n">
        <v>0</v>
      </c>
      <c r="E116" s="37" t="n">
        <v>0</v>
      </c>
      <c r="F116" s="37" t="n">
        <v>0</v>
      </c>
      <c r="G116" s="37" t="n">
        <f aca="false">G108+G112</f>
        <v>4307.04</v>
      </c>
      <c r="H116" s="37" t="n">
        <f aca="false">SUM(D116:G116)</f>
        <v>4307.04</v>
      </c>
    </row>
    <row r="117" customFormat="false" ht="15" hidden="false" customHeight="true" outlineLevel="0" collapsed="false">
      <c r="A117" s="26" t="s">
        <v>108</v>
      </c>
      <c r="B117" s="24"/>
      <c r="C117" s="25" t="s">
        <v>109</v>
      </c>
      <c r="D117" s="27" t="n">
        <f aca="false">SUM(D118:D120)</f>
        <v>82482.34126548</v>
      </c>
      <c r="E117" s="27" t="n">
        <f aca="false">SUM(E118:E120)</f>
        <v>15568.60991166</v>
      </c>
      <c r="F117" s="27" t="n">
        <f aca="false">SUM(F118:F120)</f>
        <v>27437.68305</v>
      </c>
      <c r="G117" s="27" t="n">
        <f aca="false">SUM(G118:G120)</f>
        <v>8728.2557078689</v>
      </c>
      <c r="H117" s="27" t="n">
        <f aca="false">SUM(H118:H120)</f>
        <v>134216.889935009</v>
      </c>
    </row>
    <row r="118" customFormat="false" ht="15" hidden="false" customHeight="true" outlineLevel="0" collapsed="false">
      <c r="A118" s="26"/>
      <c r="B118" s="24"/>
      <c r="C118" s="30" t="s">
        <v>41</v>
      </c>
      <c r="D118" s="37" t="n">
        <f aca="false">D101+D114</f>
        <v>12312.0161385</v>
      </c>
      <c r="E118" s="37" t="n">
        <f aca="false">E101+E114</f>
        <v>3069.77346</v>
      </c>
      <c r="F118" s="37" t="n">
        <f aca="false">F101+F114</f>
        <v>8148.86399</v>
      </c>
      <c r="G118" s="37" t="n">
        <f aca="false">G101+G114</f>
        <v>1703.1297653925</v>
      </c>
      <c r="H118" s="37" t="n">
        <f aca="false">H101+H114</f>
        <v>25233.7833538925</v>
      </c>
    </row>
    <row r="119" s="36" customFormat="true" ht="15" hidden="false" customHeight="true" outlineLevel="0" collapsed="false">
      <c r="A119" s="32"/>
      <c r="B119" s="33"/>
      <c r="C119" s="38" t="s">
        <v>42</v>
      </c>
      <c r="D119" s="35" t="n">
        <f aca="false">D102+D115</f>
        <v>-6487.9448478</v>
      </c>
      <c r="E119" s="35" t="n">
        <f aca="false">E102+E115</f>
        <v>-2042.00890686</v>
      </c>
      <c r="F119" s="35" t="n">
        <f aca="false">F102+F115</f>
        <v>-8028.47376</v>
      </c>
      <c r="G119" s="35" t="n">
        <f aca="false">G102+G115</f>
        <v>-1298.8570355233</v>
      </c>
      <c r="H119" s="35" t="n">
        <f aca="false">H102+H115</f>
        <v>-17857.2845501833</v>
      </c>
    </row>
    <row r="120" customFormat="false" ht="15" hidden="false" customHeight="true" outlineLevel="0" collapsed="false">
      <c r="A120" s="26"/>
      <c r="B120" s="24"/>
      <c r="C120" s="39" t="s">
        <v>43</v>
      </c>
      <c r="D120" s="37" t="n">
        <f aca="false">D103+D116</f>
        <v>76658.26997478</v>
      </c>
      <c r="E120" s="37" t="n">
        <f aca="false">E103+E116</f>
        <v>14540.84535852</v>
      </c>
      <c r="F120" s="37" t="n">
        <f aca="false">F103+F116</f>
        <v>27317.29282</v>
      </c>
      <c r="G120" s="37" t="n">
        <f aca="false">G103+G116</f>
        <v>8323.9829779997</v>
      </c>
      <c r="H120" s="37" t="n">
        <f aca="false">H103+H116</f>
        <v>126840.3911313</v>
      </c>
    </row>
    <row r="121" customFormat="false" ht="60.75" hidden="false" customHeight="true" outlineLevel="0" collapsed="false">
      <c r="A121" s="26"/>
      <c r="B121" s="24"/>
      <c r="C121" s="25" t="s">
        <v>110</v>
      </c>
      <c r="D121" s="25"/>
      <c r="E121" s="25"/>
      <c r="F121" s="25"/>
      <c r="G121" s="25"/>
      <c r="H121" s="25"/>
    </row>
    <row r="122" customFormat="false" ht="22.5" hidden="false" customHeight="true" outlineLevel="0" collapsed="false">
      <c r="A122" s="26" t="s">
        <v>111</v>
      </c>
      <c r="B122" s="56"/>
      <c r="C122" s="63" t="s">
        <v>112</v>
      </c>
      <c r="D122" s="27" t="n">
        <f aca="false">SUM(D123:D125)</f>
        <v>0</v>
      </c>
      <c r="E122" s="27" t="n">
        <f aca="false">SUM(E123:E125)</f>
        <v>0</v>
      </c>
      <c r="F122" s="27" t="n">
        <f aca="false">SUM(F123:F125)</f>
        <v>0</v>
      </c>
      <c r="G122" s="27" t="n">
        <f aca="false">SUM(G123:G125)</f>
        <v>3639.12</v>
      </c>
      <c r="H122" s="27" t="n">
        <f aca="false">SUM(H123:H125)</f>
        <v>3639.12</v>
      </c>
    </row>
    <row r="123" customFormat="false" ht="63.75" hidden="false" customHeight="true" outlineLevel="0" collapsed="false">
      <c r="A123" s="26"/>
      <c r="B123" s="56" t="s">
        <v>113</v>
      </c>
      <c r="C123" s="30" t="s">
        <v>41</v>
      </c>
      <c r="D123" s="31" t="n">
        <v>0</v>
      </c>
      <c r="E123" s="31" t="n">
        <v>0</v>
      </c>
      <c r="F123" s="31" t="n">
        <v>0</v>
      </c>
      <c r="G123" s="31" t="n">
        <v>3639.12</v>
      </c>
      <c r="H123" s="31" t="n">
        <f aca="false">SUM(D123:G123)</f>
        <v>3639.12</v>
      </c>
    </row>
    <row r="124" s="36" customFormat="true" ht="68.25" hidden="false" customHeight="true" outlineLevel="0" collapsed="false">
      <c r="A124" s="32"/>
      <c r="B124" s="61" t="s">
        <v>113</v>
      </c>
      <c r="C124" s="38" t="s">
        <v>176</v>
      </c>
      <c r="D124" s="45" t="n">
        <v>0</v>
      </c>
      <c r="E124" s="45" t="n">
        <v>0</v>
      </c>
      <c r="F124" s="45" t="n">
        <v>0</v>
      </c>
      <c r="G124" s="45" t="n">
        <v>0</v>
      </c>
      <c r="H124" s="45" t="n">
        <f aca="false">SUM(D124:G124)</f>
        <v>0</v>
      </c>
    </row>
    <row r="125" customFormat="false" ht="39.75" hidden="false" customHeight="true" outlineLevel="0" collapsed="false">
      <c r="A125" s="26"/>
      <c r="B125" s="56"/>
      <c r="C125" s="39" t="s">
        <v>177</v>
      </c>
      <c r="D125" s="37" t="n">
        <v>0</v>
      </c>
      <c r="E125" s="37" t="n">
        <v>0</v>
      </c>
      <c r="F125" s="37" t="n">
        <v>0</v>
      </c>
      <c r="G125" s="37" t="n">
        <f aca="false">SUM(G127:G131)</f>
        <v>0</v>
      </c>
      <c r="H125" s="37" t="n">
        <f aca="false">SUM(H127:H131)</f>
        <v>0</v>
      </c>
    </row>
    <row r="126" customFormat="false" ht="13.5" hidden="false" customHeight="true" outlineLevel="0" collapsed="false">
      <c r="A126" s="26"/>
      <c r="B126" s="56"/>
      <c r="C126" s="39" t="s">
        <v>117</v>
      </c>
      <c r="D126" s="37"/>
      <c r="E126" s="37"/>
      <c r="F126" s="37"/>
      <c r="G126" s="37"/>
      <c r="H126" s="53"/>
    </row>
    <row r="127" customFormat="false" ht="13.5" hidden="false" customHeight="true" outlineLevel="0" collapsed="false">
      <c r="A127" s="26"/>
      <c r="B127" s="56" t="s">
        <v>118</v>
      </c>
      <c r="C127" s="39" t="s">
        <v>119</v>
      </c>
      <c r="D127" s="37" t="n">
        <v>0</v>
      </c>
      <c r="E127" s="37" t="n">
        <v>0</v>
      </c>
      <c r="F127" s="37" t="n">
        <v>0</v>
      </c>
      <c r="G127" s="37" t="n">
        <v>0</v>
      </c>
      <c r="H127" s="31" t="n">
        <f aca="false">SUM(D127:G127)</f>
        <v>0</v>
      </c>
    </row>
    <row r="128" customFormat="false" ht="13.5" hidden="false" customHeight="true" outlineLevel="0" collapsed="false">
      <c r="A128" s="26"/>
      <c r="B128" s="56" t="s">
        <v>120</v>
      </c>
      <c r="C128" s="39" t="s">
        <v>121</v>
      </c>
      <c r="D128" s="37" t="n">
        <v>0</v>
      </c>
      <c r="E128" s="37" t="n">
        <v>0</v>
      </c>
      <c r="F128" s="37" t="n">
        <v>0</v>
      </c>
      <c r="G128" s="37" t="n">
        <v>0</v>
      </c>
      <c r="H128" s="31" t="n">
        <f aca="false">SUM(D128:G128)</f>
        <v>0</v>
      </c>
    </row>
    <row r="129" customFormat="false" ht="13.5" hidden="false" customHeight="true" outlineLevel="0" collapsed="false">
      <c r="A129" s="26"/>
      <c r="B129" s="56" t="s">
        <v>122</v>
      </c>
      <c r="C129" s="39" t="s">
        <v>123</v>
      </c>
      <c r="D129" s="37" t="n">
        <v>0</v>
      </c>
      <c r="E129" s="37" t="n">
        <v>0</v>
      </c>
      <c r="F129" s="37" t="n">
        <v>0</v>
      </c>
      <c r="G129" s="37" t="n">
        <v>0</v>
      </c>
      <c r="H129" s="31" t="n">
        <f aca="false">SUM(D129:G129)</f>
        <v>0</v>
      </c>
    </row>
    <row r="130" customFormat="false" ht="48" hidden="false" customHeight="true" outlineLevel="0" collapsed="false">
      <c r="A130" s="26"/>
      <c r="B130" s="56" t="s">
        <v>124</v>
      </c>
      <c r="C130" s="39" t="s">
        <v>125</v>
      </c>
      <c r="D130" s="37" t="n">
        <v>0</v>
      </c>
      <c r="E130" s="37" t="n">
        <v>0</v>
      </c>
      <c r="F130" s="37" t="n">
        <v>0</v>
      </c>
      <c r="G130" s="37" t="n">
        <v>0</v>
      </c>
      <c r="H130" s="31" t="n">
        <f aca="false">SUM(D130:G130)</f>
        <v>0</v>
      </c>
    </row>
    <row r="131" customFormat="false" ht="50.25" hidden="false" customHeight="true" outlineLevel="0" collapsed="false">
      <c r="A131" s="26"/>
      <c r="B131" s="56" t="s">
        <v>126</v>
      </c>
      <c r="C131" s="39" t="s">
        <v>127</v>
      </c>
      <c r="D131" s="37" t="n">
        <v>0</v>
      </c>
      <c r="E131" s="37" t="n">
        <v>0</v>
      </c>
      <c r="F131" s="37" t="n">
        <v>0</v>
      </c>
      <c r="G131" s="37" t="n">
        <v>0</v>
      </c>
      <c r="H131" s="31" t="n">
        <f aca="false">SUM(D131:G131)</f>
        <v>0</v>
      </c>
    </row>
    <row r="132" customFormat="false" ht="22.5" hidden="false" customHeight="true" outlineLevel="0" collapsed="false">
      <c r="A132" s="26" t="s">
        <v>128</v>
      </c>
      <c r="B132" s="56"/>
      <c r="C132" s="63" t="s">
        <v>129</v>
      </c>
      <c r="D132" s="27" t="n">
        <f aca="false">SUM(D133:D135)</f>
        <v>0</v>
      </c>
      <c r="E132" s="27" t="n">
        <f aca="false">SUM(E133:E135)</f>
        <v>0</v>
      </c>
      <c r="F132" s="27" t="n">
        <f aca="false">SUM(F133:F135)</f>
        <v>0</v>
      </c>
      <c r="G132" s="27" t="n">
        <f aca="false">SUM(G133:G135)</f>
        <v>261.42</v>
      </c>
      <c r="H132" s="27" t="n">
        <f aca="false">SUM(H133:H135)</f>
        <v>261.42</v>
      </c>
    </row>
    <row r="133" customFormat="false" ht="63.75" hidden="false" customHeight="true" outlineLevel="0" collapsed="false">
      <c r="A133" s="26"/>
      <c r="B133" s="56" t="s">
        <v>113</v>
      </c>
      <c r="C133" s="30" t="s">
        <v>41</v>
      </c>
      <c r="D133" s="31" t="n">
        <v>0</v>
      </c>
      <c r="E133" s="31" t="n">
        <v>0</v>
      </c>
      <c r="F133" s="31" t="n">
        <v>0</v>
      </c>
      <c r="G133" s="31" t="n">
        <v>261.42</v>
      </c>
      <c r="H133" s="31" t="n">
        <f aca="false">SUM(D133:G133)</f>
        <v>261.42</v>
      </c>
    </row>
    <row r="134" s="36" customFormat="true" ht="59.25" hidden="false" customHeight="true" outlineLevel="0" collapsed="false">
      <c r="A134" s="32"/>
      <c r="B134" s="61" t="s">
        <v>113</v>
      </c>
      <c r="C134" s="38" t="s">
        <v>178</v>
      </c>
      <c r="D134" s="45" t="n">
        <v>0</v>
      </c>
      <c r="E134" s="45" t="n">
        <v>0</v>
      </c>
      <c r="F134" s="45" t="n">
        <v>0</v>
      </c>
      <c r="G134" s="45" t="n">
        <v>0</v>
      </c>
      <c r="H134" s="45" t="n">
        <f aca="false">SUM(D134:G134)</f>
        <v>0</v>
      </c>
    </row>
    <row r="135" customFormat="false" ht="13.5" hidden="false" customHeight="true" outlineLevel="0" collapsed="false">
      <c r="A135" s="26"/>
      <c r="B135" s="56"/>
      <c r="C135" s="39" t="s">
        <v>43</v>
      </c>
      <c r="D135" s="37" t="n">
        <v>0</v>
      </c>
      <c r="E135" s="37" t="n">
        <v>0</v>
      </c>
      <c r="F135" s="37" t="n">
        <v>0</v>
      </c>
      <c r="G135" s="37" t="n">
        <f aca="false">SUM(G137:G139)</f>
        <v>0</v>
      </c>
      <c r="H135" s="31" t="n">
        <f aca="false">SUM(D135:G135)</f>
        <v>0</v>
      </c>
    </row>
    <row r="136" customFormat="false" ht="39.75" hidden="false" customHeight="true" outlineLevel="0" collapsed="false">
      <c r="A136" s="26"/>
      <c r="B136" s="56"/>
      <c r="C136" s="39" t="s">
        <v>117</v>
      </c>
      <c r="D136" s="37"/>
      <c r="E136" s="37"/>
      <c r="F136" s="37"/>
      <c r="G136" s="37"/>
      <c r="H136" s="53"/>
    </row>
    <row r="137" customFormat="false" ht="13.5" hidden="false" customHeight="true" outlineLevel="0" collapsed="false">
      <c r="A137" s="26"/>
      <c r="B137" s="56" t="s">
        <v>130</v>
      </c>
      <c r="C137" s="39" t="s">
        <v>131</v>
      </c>
      <c r="D137" s="37" t="n">
        <v>0</v>
      </c>
      <c r="E137" s="37" t="n">
        <v>0</v>
      </c>
      <c r="F137" s="37" t="n">
        <v>0</v>
      </c>
      <c r="G137" s="37" t="n">
        <v>0</v>
      </c>
      <c r="H137" s="31" t="n">
        <f aca="false">SUM(D137:G137)</f>
        <v>0</v>
      </c>
    </row>
    <row r="138" customFormat="false" ht="13.5" hidden="false" customHeight="true" outlineLevel="0" collapsed="false">
      <c r="A138" s="26"/>
      <c r="B138" s="56" t="s">
        <v>132</v>
      </c>
      <c r="C138" s="39" t="s">
        <v>133</v>
      </c>
      <c r="D138" s="37" t="n">
        <v>0</v>
      </c>
      <c r="E138" s="37" t="n">
        <v>0</v>
      </c>
      <c r="F138" s="37" t="n">
        <v>0</v>
      </c>
      <c r="G138" s="37" t="n">
        <v>0</v>
      </c>
      <c r="H138" s="31" t="n">
        <f aca="false">SUM(D138:G138)</f>
        <v>0</v>
      </c>
    </row>
    <row r="139" customFormat="false" ht="13.5" hidden="false" customHeight="true" outlineLevel="0" collapsed="false">
      <c r="A139" s="26"/>
      <c r="B139" s="56" t="s">
        <v>134</v>
      </c>
      <c r="C139" s="39" t="s">
        <v>135</v>
      </c>
      <c r="D139" s="37" t="n">
        <v>0</v>
      </c>
      <c r="E139" s="37" t="n">
        <v>0</v>
      </c>
      <c r="F139" s="37" t="n">
        <v>0</v>
      </c>
      <c r="G139" s="37" t="n">
        <v>0</v>
      </c>
      <c r="H139" s="31" t="n">
        <f aca="false">SUM(D139:G139)</f>
        <v>0</v>
      </c>
    </row>
    <row r="140" customFormat="false" ht="24" hidden="false" customHeight="true" outlineLevel="0" collapsed="false">
      <c r="A140" s="26" t="s">
        <v>136</v>
      </c>
      <c r="B140" s="52"/>
      <c r="C140" s="65" t="s">
        <v>137</v>
      </c>
      <c r="D140" s="27" t="n">
        <f aca="false">SUM(D141:D143)</f>
        <v>0</v>
      </c>
      <c r="E140" s="27" t="n">
        <f aca="false">SUM(E141:E143)</f>
        <v>0</v>
      </c>
      <c r="F140" s="27" t="n">
        <f aca="false">SUM(F141:F143)</f>
        <v>0</v>
      </c>
      <c r="G140" s="27" t="n">
        <f aca="false">SUM(G141:G143)</f>
        <v>0</v>
      </c>
      <c r="H140" s="27" t="n">
        <f aca="false">SUM(H141:H143)</f>
        <v>0</v>
      </c>
    </row>
    <row r="141" customFormat="false" ht="15" hidden="false" customHeight="true" outlineLevel="0" collapsed="false">
      <c r="A141" s="26"/>
      <c r="B141" s="52" t="s">
        <v>138</v>
      </c>
      <c r="C141" s="30" t="s">
        <v>41</v>
      </c>
      <c r="D141" s="37" t="n">
        <v>0</v>
      </c>
      <c r="E141" s="37" t="n">
        <v>0</v>
      </c>
      <c r="F141" s="37" t="n">
        <v>0</v>
      </c>
      <c r="G141" s="37" t="n">
        <v>1005.29</v>
      </c>
      <c r="H141" s="37" t="n">
        <f aca="false">SUM(D141:G141)</f>
        <v>1005.29</v>
      </c>
    </row>
    <row r="142" customFormat="false" ht="15" hidden="false" customHeight="true" outlineLevel="0" collapsed="false">
      <c r="A142" s="26"/>
      <c r="B142" s="66" t="s">
        <v>138</v>
      </c>
      <c r="C142" s="38" t="s">
        <v>42</v>
      </c>
      <c r="D142" s="35" t="n">
        <v>0</v>
      </c>
      <c r="E142" s="35" t="n">
        <v>0</v>
      </c>
      <c r="F142" s="35" t="n">
        <v>0</v>
      </c>
      <c r="G142" s="35" t="n">
        <v>-1005.29</v>
      </c>
      <c r="H142" s="35" t="n">
        <f aca="false">SUM(D142:G142)</f>
        <v>-1005.29</v>
      </c>
    </row>
    <row r="143" customFormat="false" ht="48.75" hidden="false" customHeight="true" outlineLevel="0" collapsed="false">
      <c r="A143" s="26"/>
      <c r="B143" s="52" t="s">
        <v>179</v>
      </c>
      <c r="C143" s="30" t="s">
        <v>43</v>
      </c>
      <c r="D143" s="37" t="n">
        <v>0</v>
      </c>
      <c r="E143" s="37" t="n">
        <v>0</v>
      </c>
      <c r="F143" s="37" t="n">
        <v>0</v>
      </c>
      <c r="G143" s="37" t="n">
        <f aca="false">G125/5.556*0.1188*8.14</f>
        <v>0</v>
      </c>
      <c r="H143" s="37" t="n">
        <f aca="false">SUM(D143:G143)</f>
        <v>0</v>
      </c>
    </row>
    <row r="144" customFormat="false" ht="24.75" hidden="false" customHeight="true" outlineLevel="0" collapsed="false">
      <c r="A144" s="26" t="s">
        <v>141</v>
      </c>
      <c r="B144" s="52"/>
      <c r="C144" s="65" t="s">
        <v>142</v>
      </c>
      <c r="D144" s="27" t="n">
        <f aca="false">SUM(D145:D147)</f>
        <v>0</v>
      </c>
      <c r="E144" s="27" t="n">
        <f aca="false">SUM(E145:E147)</f>
        <v>0</v>
      </c>
      <c r="F144" s="27" t="n">
        <f aca="false">SUM(F145:F147)</f>
        <v>0</v>
      </c>
      <c r="G144" s="27" t="n">
        <f aca="false">SUM(G145:G147)</f>
        <v>96.43668</v>
      </c>
      <c r="H144" s="27" t="n">
        <f aca="false">SUM(H145:H147)</f>
        <v>96.43668</v>
      </c>
    </row>
    <row r="145" customFormat="false" ht="36.75" hidden="false" customHeight="true" outlineLevel="0" collapsed="false">
      <c r="A145" s="26"/>
      <c r="B145" s="56" t="s">
        <v>143</v>
      </c>
      <c r="C145" s="30" t="s">
        <v>180</v>
      </c>
      <c r="D145" s="37" t="n">
        <v>0</v>
      </c>
      <c r="E145" s="37" t="n">
        <v>0</v>
      </c>
      <c r="F145" s="37" t="n">
        <v>0</v>
      </c>
      <c r="G145" s="37" t="n">
        <f aca="false">G123*2.65%</f>
        <v>96.43668</v>
      </c>
      <c r="H145" s="37" t="n">
        <f aca="false">SUM(D145:G145)</f>
        <v>96.43668</v>
      </c>
    </row>
    <row r="146" s="36" customFormat="true" ht="36.75" hidden="false" customHeight="true" outlineLevel="0" collapsed="false">
      <c r="A146" s="32"/>
      <c r="B146" s="61" t="s">
        <v>143</v>
      </c>
      <c r="C146" s="38" t="s">
        <v>181</v>
      </c>
      <c r="D146" s="35" t="n">
        <v>0</v>
      </c>
      <c r="E146" s="35" t="n">
        <v>0</v>
      </c>
      <c r="F146" s="35" t="n">
        <v>0</v>
      </c>
      <c r="G146" s="35" t="n">
        <f aca="false">G124*2.65%</f>
        <v>0</v>
      </c>
      <c r="H146" s="35" t="n">
        <f aca="false">SUM(D146:G146)</f>
        <v>0</v>
      </c>
    </row>
    <row r="147" customFormat="false" ht="24.75" hidden="false" customHeight="true" outlineLevel="0" collapsed="false">
      <c r="A147" s="26"/>
      <c r="B147" s="56" t="s">
        <v>145</v>
      </c>
      <c r="C147" s="39" t="s">
        <v>182</v>
      </c>
      <c r="D147" s="37" t="n">
        <v>0</v>
      </c>
      <c r="E147" s="37" t="n">
        <v>0</v>
      </c>
      <c r="F147" s="37" t="n">
        <v>0</v>
      </c>
      <c r="G147" s="37" t="n">
        <f aca="false">G125*0.0265</f>
        <v>0</v>
      </c>
      <c r="H147" s="37" t="n">
        <f aca="false">SUM(D147:G147)</f>
        <v>0</v>
      </c>
    </row>
    <row r="148" customFormat="false" ht="24.75" hidden="false" customHeight="true" outlineLevel="0" collapsed="false">
      <c r="A148" s="26" t="s">
        <v>147</v>
      </c>
      <c r="B148" s="56"/>
      <c r="C148" s="65" t="s">
        <v>148</v>
      </c>
      <c r="D148" s="37"/>
      <c r="E148" s="37"/>
      <c r="F148" s="37"/>
      <c r="G148" s="37"/>
      <c r="H148" s="37"/>
    </row>
    <row r="149" customFormat="false" ht="44.25" hidden="false" customHeight="true" outlineLevel="0" collapsed="false">
      <c r="A149" s="26"/>
      <c r="B149" s="56" t="s">
        <v>149</v>
      </c>
      <c r="C149" s="30" t="s">
        <v>150</v>
      </c>
      <c r="D149" s="37" t="n">
        <v>0</v>
      </c>
      <c r="E149" s="37" t="n">
        <v>0</v>
      </c>
      <c r="F149" s="37" t="n">
        <v>0</v>
      </c>
      <c r="G149" s="37" t="n">
        <f aca="false">ROUND((D101+E101+F101+G101)*0.15%,2)</f>
        <v>36.57</v>
      </c>
      <c r="H149" s="37" t="n">
        <f aca="false">ROUND(H101*0.15%,2)</f>
        <v>36.57</v>
      </c>
    </row>
    <row r="150" customFormat="false" ht="36.75" hidden="false" customHeight="true" outlineLevel="0" collapsed="false">
      <c r="A150" s="26"/>
      <c r="B150" s="61" t="s">
        <v>183</v>
      </c>
      <c r="C150" s="38" t="s">
        <v>42</v>
      </c>
      <c r="D150" s="35" t="n">
        <v>0</v>
      </c>
      <c r="E150" s="35" t="n">
        <v>0</v>
      </c>
      <c r="F150" s="35" t="n">
        <v>0</v>
      </c>
      <c r="G150" s="35" t="n">
        <f aca="false">ROUND((D102+E102+F102+G102)*0.15%,2)</f>
        <v>-25.88</v>
      </c>
      <c r="H150" s="35" t="n">
        <f aca="false">ROUND(H102*0.15%,2)</f>
        <v>-25.88</v>
      </c>
    </row>
    <row r="151" customFormat="false" ht="33.75" hidden="false" customHeight="true" outlineLevel="0" collapsed="false">
      <c r="A151" s="26"/>
      <c r="B151" s="56" t="s">
        <v>184</v>
      </c>
      <c r="C151" s="39" t="s">
        <v>43</v>
      </c>
      <c r="D151" s="37" t="n">
        <v>0</v>
      </c>
      <c r="E151" s="37" t="n">
        <v>0</v>
      </c>
      <c r="F151" s="37" t="n">
        <v>0</v>
      </c>
      <c r="G151" s="37" t="n">
        <f aca="false">ROUND((D103+E103+F103+G103)*0.15%,2)</f>
        <v>183.8</v>
      </c>
      <c r="H151" s="37" t="n">
        <f aca="false">ROUND(H103*0.15%,2)</f>
        <v>183.8</v>
      </c>
    </row>
    <row r="152" customFormat="false" ht="15" hidden="false" customHeight="true" outlineLevel="0" collapsed="false">
      <c r="A152" s="26" t="s">
        <v>151</v>
      </c>
      <c r="B152" s="67"/>
      <c r="C152" s="25" t="s">
        <v>152</v>
      </c>
      <c r="D152" s="27" t="n">
        <f aca="false">SUM(D153:D155)</f>
        <v>0</v>
      </c>
      <c r="E152" s="27" t="n">
        <f aca="false">SUM(E153:E155)</f>
        <v>0</v>
      </c>
      <c r="F152" s="27" t="n">
        <f aca="false">SUM(F153:F155)</f>
        <v>0</v>
      </c>
      <c r="G152" s="27" t="n">
        <f aca="false">SUM(G153:G155)</f>
        <v>4191.46668</v>
      </c>
      <c r="H152" s="27" t="n">
        <f aca="false">SUM(H153:H155)</f>
        <v>4191.46668</v>
      </c>
    </row>
    <row r="153" customFormat="false" ht="15" hidden="false" customHeight="true" outlineLevel="0" collapsed="false">
      <c r="A153" s="26"/>
      <c r="B153" s="67"/>
      <c r="C153" s="30" t="s">
        <v>41</v>
      </c>
      <c r="D153" s="37" t="n">
        <f aca="false">D123+D141+D145</f>
        <v>0</v>
      </c>
      <c r="E153" s="37" t="n">
        <f aca="false">E123+E141+E145</f>
        <v>0</v>
      </c>
      <c r="F153" s="37" t="n">
        <f aca="false">F123+F141+F145</f>
        <v>0</v>
      </c>
      <c r="G153" s="37" t="n">
        <f aca="false">G123+G133+G141+G145+G149</f>
        <v>5038.83668</v>
      </c>
      <c r="H153" s="37" t="n">
        <f aca="false">H123+H133+H141+H145+H149</f>
        <v>5038.83668</v>
      </c>
    </row>
    <row r="154" s="36" customFormat="true" ht="15" hidden="false" customHeight="true" outlineLevel="0" collapsed="false">
      <c r="A154" s="32"/>
      <c r="B154" s="68"/>
      <c r="C154" s="38" t="s">
        <v>42</v>
      </c>
      <c r="D154" s="35" t="n">
        <f aca="false">D124+D142+D146</f>
        <v>0</v>
      </c>
      <c r="E154" s="35" t="n">
        <f aca="false">E124+E142+E146</f>
        <v>0</v>
      </c>
      <c r="F154" s="35" t="n">
        <f aca="false">F124+F142+F146</f>
        <v>0</v>
      </c>
      <c r="G154" s="35" t="n">
        <f aca="false">G124+G134+G142+G146+G150</f>
        <v>-1031.17</v>
      </c>
      <c r="H154" s="35" t="n">
        <f aca="false">H124+H134+H142+H146+H150</f>
        <v>-1031.17</v>
      </c>
    </row>
    <row r="155" customFormat="false" ht="15" hidden="false" customHeight="true" outlineLevel="0" collapsed="false">
      <c r="A155" s="26"/>
      <c r="B155" s="67"/>
      <c r="C155" s="39" t="s">
        <v>43</v>
      </c>
      <c r="D155" s="37" t="n">
        <f aca="false">D131+D143+D147</f>
        <v>0</v>
      </c>
      <c r="E155" s="37" t="n">
        <f aca="false">E131+E143+E147</f>
        <v>0</v>
      </c>
      <c r="F155" s="37" t="n">
        <f aca="false">F131+F143+F147</f>
        <v>0</v>
      </c>
      <c r="G155" s="37" t="n">
        <f aca="false">G125+G135+G143+G147+G151</f>
        <v>183.8</v>
      </c>
      <c r="H155" s="37" t="n">
        <f aca="false">H125+H135+H143+H147+H151</f>
        <v>183.8</v>
      </c>
    </row>
    <row r="156" customFormat="false" ht="15" hidden="false" customHeight="true" outlineLevel="0" collapsed="false">
      <c r="A156" s="26" t="s">
        <v>153</v>
      </c>
      <c r="B156" s="52"/>
      <c r="C156" s="69" t="s">
        <v>154</v>
      </c>
      <c r="D156" s="27" t="n">
        <f aca="false">SUM(D157:D159)</f>
        <v>82482.34126548</v>
      </c>
      <c r="E156" s="27" t="n">
        <f aca="false">SUM(E157:E159)</f>
        <v>15568.60991166</v>
      </c>
      <c r="F156" s="27" t="n">
        <f aca="false">SUM(F157:F159)</f>
        <v>27437.68305</v>
      </c>
      <c r="G156" s="27" t="n">
        <f aca="false">SUM(G157:G159)</f>
        <v>12919.7223878689</v>
      </c>
      <c r="H156" s="27" t="n">
        <f aca="false">SUM(D156:G156)</f>
        <v>138408.356615009</v>
      </c>
    </row>
    <row r="157" customFormat="false" ht="15" hidden="false" customHeight="true" outlineLevel="0" collapsed="false">
      <c r="A157" s="26"/>
      <c r="B157" s="52"/>
      <c r="C157" s="30" t="s">
        <v>41</v>
      </c>
      <c r="D157" s="37" t="n">
        <f aca="false">D118+D153</f>
        <v>12312.0161385</v>
      </c>
      <c r="E157" s="37" t="n">
        <f aca="false">E118+E153</f>
        <v>3069.77346</v>
      </c>
      <c r="F157" s="37" t="n">
        <f aca="false">F118+F153</f>
        <v>8148.86399</v>
      </c>
      <c r="G157" s="37" t="n">
        <f aca="false">G118+G153</f>
        <v>6741.9664453925</v>
      </c>
      <c r="H157" s="37" t="n">
        <f aca="false">H118+H153</f>
        <v>30272.6200338925</v>
      </c>
      <c r="L157" s="57" t="n">
        <f aca="false">D157+E157+F157+G157</f>
        <v>30272.6200338925</v>
      </c>
    </row>
    <row r="158" s="36" customFormat="true" ht="15" hidden="false" customHeight="true" outlineLevel="0" collapsed="false">
      <c r="A158" s="32"/>
      <c r="B158" s="66"/>
      <c r="C158" s="38" t="s">
        <v>42</v>
      </c>
      <c r="D158" s="35" t="n">
        <f aca="false">D119+D154</f>
        <v>-6487.9448478</v>
      </c>
      <c r="E158" s="35" t="n">
        <f aca="false">E119+E154</f>
        <v>-2042.00890686</v>
      </c>
      <c r="F158" s="35" t="n">
        <f aca="false">F119+F154</f>
        <v>-8028.47376</v>
      </c>
      <c r="G158" s="35" t="n">
        <f aca="false">G119+G154</f>
        <v>-2330.0270355233</v>
      </c>
      <c r="H158" s="35" t="n">
        <f aca="false">H119+H154</f>
        <v>-18888.4545501833</v>
      </c>
    </row>
    <row r="159" customFormat="false" ht="15" hidden="false" customHeight="true" outlineLevel="0" collapsed="false">
      <c r="A159" s="26"/>
      <c r="B159" s="52"/>
      <c r="C159" s="39" t="s">
        <v>43</v>
      </c>
      <c r="D159" s="37" t="n">
        <f aca="false">D120+D155</f>
        <v>76658.26997478</v>
      </c>
      <c r="E159" s="37" t="n">
        <f aca="false">E120+E155</f>
        <v>14540.84535852</v>
      </c>
      <c r="F159" s="37" t="n">
        <f aca="false">F120+F155</f>
        <v>27317.29282</v>
      </c>
      <c r="G159" s="37" t="n">
        <f aca="false">G120+G155</f>
        <v>8507.7829779997</v>
      </c>
      <c r="H159" s="37" t="n">
        <f aca="false">H120+H155</f>
        <v>127024.1911313</v>
      </c>
    </row>
    <row r="160" customFormat="false" ht="54" hidden="false" customHeight="true" outlineLevel="0" collapsed="false">
      <c r="A160" s="26" t="s">
        <v>155</v>
      </c>
      <c r="B160" s="52" t="s">
        <v>156</v>
      </c>
      <c r="C160" s="28" t="s">
        <v>157</v>
      </c>
      <c r="D160" s="37" t="n">
        <f aca="false">SUM(D161:D163)</f>
        <v>1649.6468253096</v>
      </c>
      <c r="E160" s="37" t="n">
        <f aca="false">SUM(E161:E163)</f>
        <v>311.3721982332</v>
      </c>
      <c r="F160" s="37" t="n">
        <f aca="false">SUM(F161:F163)</f>
        <v>548.753661</v>
      </c>
      <c r="G160" s="37" t="n">
        <f aca="false">SUM(G161:G163)</f>
        <v>258.394447757378</v>
      </c>
      <c r="H160" s="37" t="n">
        <f aca="false">SUM(H161:H163)</f>
        <v>2768.16713230018</v>
      </c>
    </row>
    <row r="161" customFormat="false" ht="17.25" hidden="false" customHeight="true" outlineLevel="0" collapsed="false">
      <c r="A161" s="26"/>
      <c r="B161" s="52"/>
      <c r="C161" s="30" t="s">
        <v>41</v>
      </c>
      <c r="D161" s="37" t="n">
        <f aca="false">D157*2/100</f>
        <v>246.24032277</v>
      </c>
      <c r="E161" s="37" t="n">
        <f aca="false">E157*2/100</f>
        <v>61.3954692</v>
      </c>
      <c r="F161" s="37" t="n">
        <f aca="false">F157*2/100</f>
        <v>162.9772798</v>
      </c>
      <c r="G161" s="37" t="n">
        <f aca="false">G157*2/100</f>
        <v>134.83932890785</v>
      </c>
      <c r="H161" s="37" t="n">
        <f aca="false">SUM(D161:G161)</f>
        <v>605.45240067785</v>
      </c>
    </row>
    <row r="162" s="36" customFormat="true" ht="18" hidden="false" customHeight="true" outlineLevel="0" collapsed="false">
      <c r="A162" s="32"/>
      <c r="B162" s="66"/>
      <c r="C162" s="38" t="s">
        <v>42</v>
      </c>
      <c r="D162" s="35" t="n">
        <f aca="false">D158*2/100</f>
        <v>-129.758896956</v>
      </c>
      <c r="E162" s="35" t="n">
        <f aca="false">E158*2/100</f>
        <v>-40.8401781372</v>
      </c>
      <c r="F162" s="35" t="n">
        <f aca="false">F158*2/100</f>
        <v>-160.5694752</v>
      </c>
      <c r="G162" s="35" t="n">
        <f aca="false">G158*2/100</f>
        <v>-46.600540710466</v>
      </c>
      <c r="H162" s="37" t="n">
        <f aca="false">SUM(D162:G162)</f>
        <v>-377.769091003666</v>
      </c>
    </row>
    <row r="163" customFormat="false" ht="13.5" hidden="false" customHeight="true" outlineLevel="0" collapsed="false">
      <c r="A163" s="26"/>
      <c r="B163" s="52"/>
      <c r="C163" s="39" t="s">
        <v>43</v>
      </c>
      <c r="D163" s="37" t="n">
        <f aca="false">D159*2/100</f>
        <v>1533.1653994956</v>
      </c>
      <c r="E163" s="37" t="n">
        <f aca="false">E159*2/100</f>
        <v>290.8169071704</v>
      </c>
      <c r="F163" s="37" t="n">
        <f aca="false">F159*2/100</f>
        <v>546.3458564</v>
      </c>
      <c r="G163" s="37" t="n">
        <f aca="false">G159*2/100</f>
        <v>170.155659559994</v>
      </c>
      <c r="H163" s="37" t="n">
        <f aca="false">SUM(D163:G163)</f>
        <v>2540.48382262599</v>
      </c>
    </row>
    <row r="164" customFormat="false" ht="28.5" hidden="false" customHeight="true" outlineLevel="0" collapsed="false">
      <c r="A164" s="26" t="s">
        <v>158</v>
      </c>
      <c r="B164" s="51"/>
      <c r="C164" s="65" t="s">
        <v>185</v>
      </c>
      <c r="D164" s="27" t="n">
        <f aca="false">SUM(D165:D167)</f>
        <v>84131.9880907896</v>
      </c>
      <c r="E164" s="27" t="n">
        <f aca="false">SUM(E165:E167)</f>
        <v>15879.9821098932</v>
      </c>
      <c r="F164" s="27" t="n">
        <f aca="false">SUM(F165:F167)</f>
        <v>27986.436711</v>
      </c>
      <c r="G164" s="27" t="n">
        <f aca="false">SUM(G165:G167)</f>
        <v>13178.1168356263</v>
      </c>
      <c r="H164" s="27" t="n">
        <f aca="false">SUM(H165:H167)</f>
        <v>141176.523747309</v>
      </c>
    </row>
    <row r="165" customFormat="false" ht="15" hidden="false" customHeight="true" outlineLevel="0" collapsed="false">
      <c r="A165" s="26"/>
      <c r="B165" s="51"/>
      <c r="C165" s="30" t="s">
        <v>41</v>
      </c>
      <c r="D165" s="37" t="n">
        <f aca="false">D157+D161</f>
        <v>12558.25646127</v>
      </c>
      <c r="E165" s="37" t="n">
        <f aca="false">E157+E161</f>
        <v>3131.1689292</v>
      </c>
      <c r="F165" s="37" t="n">
        <f aca="false">F157+F161</f>
        <v>8311.8412698</v>
      </c>
      <c r="G165" s="37" t="n">
        <f aca="false">G157+G161</f>
        <v>6876.80577430035</v>
      </c>
      <c r="H165" s="37" t="n">
        <f aca="false">H157+H161</f>
        <v>30878.0724345703</v>
      </c>
    </row>
    <row r="166" s="36" customFormat="true" ht="15" hidden="false" customHeight="true" outlineLevel="0" collapsed="false">
      <c r="A166" s="32"/>
      <c r="B166" s="70"/>
      <c r="C166" s="38" t="s">
        <v>42</v>
      </c>
      <c r="D166" s="35" t="n">
        <f aca="false">D158+D162</f>
        <v>-6617.703744756</v>
      </c>
      <c r="E166" s="35" t="n">
        <f aca="false">E158+E162</f>
        <v>-2082.8490849972</v>
      </c>
      <c r="F166" s="35" t="n">
        <f aca="false">F158+F162</f>
        <v>-8189.0432352</v>
      </c>
      <c r="G166" s="35" t="n">
        <f aca="false">G158+G162</f>
        <v>-2376.62757623377</v>
      </c>
      <c r="H166" s="35" t="n">
        <f aca="false">H158+H162</f>
        <v>-19266.223641187</v>
      </c>
    </row>
    <row r="167" customFormat="false" ht="15" hidden="false" customHeight="true" outlineLevel="0" collapsed="false">
      <c r="A167" s="26"/>
      <c r="B167" s="51"/>
      <c r="C167" s="39" t="s">
        <v>43</v>
      </c>
      <c r="D167" s="37" t="n">
        <f aca="false">D159+D163</f>
        <v>78191.4353742756</v>
      </c>
      <c r="E167" s="37" t="n">
        <f aca="false">E159+E163</f>
        <v>14831.6622656904</v>
      </c>
      <c r="F167" s="37" t="n">
        <f aca="false">F159+F163</f>
        <v>27863.6386764</v>
      </c>
      <c r="G167" s="37" t="n">
        <f aca="false">G159+G163</f>
        <v>8677.93863755969</v>
      </c>
      <c r="H167" s="37" t="n">
        <f aca="false">H159+H163</f>
        <v>129564.674953926</v>
      </c>
    </row>
    <row r="168" customFormat="false" ht="21.75" hidden="false" customHeight="true" outlineLevel="0" collapsed="false">
      <c r="A168" s="26" t="s">
        <v>160</v>
      </c>
      <c r="B168" s="51"/>
      <c r="C168" s="25" t="s">
        <v>186</v>
      </c>
      <c r="D168" s="27" t="n">
        <f aca="false">SUM(D169:D171)</f>
        <v>18271.4152713132</v>
      </c>
      <c r="E168" s="27" t="n">
        <f aca="false">SUM(E169:E171)</f>
        <v>3451.66327040839</v>
      </c>
      <c r="F168" s="27" t="n">
        <f aca="false">SUM(F169:F171)</f>
        <v>6152.104155036</v>
      </c>
      <c r="G168" s="27" t="n">
        <f aca="false">SUM(G169:G171)</f>
        <v>2719.17857591512</v>
      </c>
      <c r="H168" s="27" t="n">
        <f aca="false">SUM(H169:H171)</f>
        <v>30594.3612726727</v>
      </c>
    </row>
    <row r="169" customFormat="false" ht="15" hidden="false" customHeight="true" outlineLevel="0" collapsed="false">
      <c r="A169" s="26"/>
      <c r="B169" s="51"/>
      <c r="C169" s="30" t="s">
        <v>187</v>
      </c>
      <c r="D169" s="37" t="n">
        <f aca="false">(D165-D141)*0.18</f>
        <v>2260.4861630286</v>
      </c>
      <c r="E169" s="37" t="n">
        <f aca="false">(E165-E141)*0.18</f>
        <v>563.610407256</v>
      </c>
      <c r="F169" s="37" t="n">
        <f aca="false">(F165-F141)*0.18</f>
        <v>1496.131428564</v>
      </c>
      <c r="G169" s="37" t="n">
        <f aca="false">(G165-G141)*0.18</f>
        <v>1056.87283937406</v>
      </c>
      <c r="H169" s="37" t="n">
        <f aca="false">SUM(D169:G169)</f>
        <v>5377.10083822266</v>
      </c>
    </row>
    <row r="170" customFormat="false" ht="15" hidden="false" customHeight="true" outlineLevel="0" collapsed="false">
      <c r="A170" s="26"/>
      <c r="B170" s="51"/>
      <c r="C170" s="38" t="s">
        <v>188</v>
      </c>
      <c r="D170" s="35" t="n">
        <f aca="false">(D166-D142)*0.18</f>
        <v>-1191.18667405608</v>
      </c>
      <c r="E170" s="35" t="n">
        <f aca="false">(E166-E142)*0.18</f>
        <v>-374.912835299496</v>
      </c>
      <c r="F170" s="35" t="n">
        <f aca="false">(F166-F142)*0.18</f>
        <v>-1474.027782336</v>
      </c>
      <c r="G170" s="35" t="n">
        <f aca="false">(G166-G142)*0.18</f>
        <v>-246.840763722078</v>
      </c>
      <c r="H170" s="37" t="n">
        <f aca="false">SUM(D170:G170)</f>
        <v>-3286.96805541365</v>
      </c>
    </row>
    <row r="171" customFormat="false" ht="15" hidden="false" customHeight="true" outlineLevel="0" collapsed="false">
      <c r="A171" s="26"/>
      <c r="B171" s="51"/>
      <c r="C171" s="39" t="s">
        <v>189</v>
      </c>
      <c r="D171" s="37" t="n">
        <f aca="false">(D167-D143)*0.22</f>
        <v>17202.1157823406</v>
      </c>
      <c r="E171" s="37" t="n">
        <f aca="false">(E167-E143)*0.22</f>
        <v>3262.96569845189</v>
      </c>
      <c r="F171" s="37" t="n">
        <f aca="false">(F167-F143)*0.22</f>
        <v>6130.000508808</v>
      </c>
      <c r="G171" s="37" t="n">
        <f aca="false">(G167-G143)*0.22</f>
        <v>1909.14650026313</v>
      </c>
      <c r="H171" s="37" t="n">
        <f aca="false">SUM(D171:G171)</f>
        <v>28504.2284898637</v>
      </c>
    </row>
    <row r="172" customFormat="false" ht="15" hidden="false" customHeight="true" outlineLevel="0" collapsed="false">
      <c r="A172" s="26" t="s">
        <v>162</v>
      </c>
      <c r="B172" s="51"/>
      <c r="C172" s="25" t="s">
        <v>190</v>
      </c>
      <c r="D172" s="27" t="n">
        <f aca="false">SUM(D173:D175)</f>
        <v>102403.403362103</v>
      </c>
      <c r="E172" s="27" t="n">
        <f aca="false">SUM(E173:E175)</f>
        <v>19331.6453803016</v>
      </c>
      <c r="F172" s="27" t="n">
        <f aca="false">SUM(F173:F175)</f>
        <v>34138.540866036</v>
      </c>
      <c r="G172" s="27" t="n">
        <f aca="false">SUM(G173:G175)</f>
        <v>15897.2954115414</v>
      </c>
      <c r="H172" s="27" t="n">
        <f aca="false">SUM(H173:H175)</f>
        <v>171770.885019982</v>
      </c>
      <c r="J172" s="57"/>
      <c r="L172" s="57" t="n">
        <f aca="false">D172+E172</f>
        <v>121735.048742404</v>
      </c>
    </row>
    <row r="173" customFormat="false" ht="15" hidden="false" customHeight="true" outlineLevel="0" collapsed="false">
      <c r="A173" s="26"/>
      <c r="B173" s="51"/>
      <c r="C173" s="30" t="s">
        <v>41</v>
      </c>
      <c r="D173" s="37" t="n">
        <f aca="false">D165+D169</f>
        <v>14818.7426242986</v>
      </c>
      <c r="E173" s="37" t="n">
        <f aca="false">E165+E169</f>
        <v>3694.779336456</v>
      </c>
      <c r="F173" s="37" t="n">
        <f aca="false">F165+F169</f>
        <v>9807.972698364</v>
      </c>
      <c r="G173" s="37" t="n">
        <f aca="false">G165+G169</f>
        <v>7933.67861367441</v>
      </c>
      <c r="H173" s="37" t="n">
        <f aca="false">H165+H169</f>
        <v>36255.173272793</v>
      </c>
      <c r="L173" s="57" t="n">
        <f aca="false">D174+E174</f>
        <v>-10266.6523391088</v>
      </c>
    </row>
    <row r="174" customFormat="false" ht="15" hidden="false" customHeight="true" outlineLevel="0" collapsed="false">
      <c r="A174" s="26"/>
      <c r="B174" s="51"/>
      <c r="C174" s="38" t="s">
        <v>42</v>
      </c>
      <c r="D174" s="35" t="n">
        <f aca="false">D166+D170</f>
        <v>-7808.89041881208</v>
      </c>
      <c r="E174" s="35" t="n">
        <f aca="false">E166+E170</f>
        <v>-2457.7619202967</v>
      </c>
      <c r="F174" s="35" t="n">
        <f aca="false">F166+F170</f>
        <v>-9663.071017536</v>
      </c>
      <c r="G174" s="35" t="n">
        <f aca="false">G166+G170</f>
        <v>-2623.46833995584</v>
      </c>
      <c r="H174" s="35" t="n">
        <f aca="false">H166+H170</f>
        <v>-22553.1916966006</v>
      </c>
      <c r="L174" s="57" t="n">
        <f aca="false">D175+E175</f>
        <v>113488.179120759</v>
      </c>
    </row>
    <row r="175" customFormat="false" ht="15" hidden="false" customHeight="true" outlineLevel="0" collapsed="false">
      <c r="A175" s="26"/>
      <c r="B175" s="51"/>
      <c r="C175" s="39" t="s">
        <v>43</v>
      </c>
      <c r="D175" s="37" t="n">
        <f aca="false">D167+D171</f>
        <v>95393.5511566162</v>
      </c>
      <c r="E175" s="37" t="n">
        <f aca="false">E167+E171</f>
        <v>18094.6279641423</v>
      </c>
      <c r="F175" s="37" t="n">
        <f aca="false">F167+F171</f>
        <v>33993.639185208</v>
      </c>
      <c r="G175" s="37" t="n">
        <f aca="false">G167+G171</f>
        <v>10587.0851378228</v>
      </c>
      <c r="H175" s="37" t="n">
        <f aca="false">H167+H171</f>
        <v>158068.903443789</v>
      </c>
      <c r="L175" s="57"/>
    </row>
    <row r="176" customFormat="false" ht="28.5" hidden="false" customHeight="true" outlineLevel="0" collapsed="false">
      <c r="A176" s="26" t="s">
        <v>191</v>
      </c>
      <c r="B176" s="51"/>
      <c r="C176" s="65" t="s">
        <v>169</v>
      </c>
      <c r="D176" s="27" t="n">
        <v>0</v>
      </c>
      <c r="E176" s="27" t="n">
        <v>0</v>
      </c>
      <c r="F176" s="27" t="n">
        <v>0</v>
      </c>
      <c r="G176" s="27" t="n">
        <f aca="false">G177+G178+G179</f>
        <v>3900.54</v>
      </c>
      <c r="H176" s="37" t="n">
        <f aca="false">D176+E176+F176+G176</f>
        <v>3900.54</v>
      </c>
      <c r="L176" s="57"/>
    </row>
    <row r="177" customFormat="false" ht="15" hidden="false" customHeight="true" outlineLevel="0" collapsed="false">
      <c r="A177" s="26"/>
      <c r="B177" s="51"/>
      <c r="C177" s="30" t="s">
        <v>41</v>
      </c>
      <c r="D177" s="37" t="n">
        <v>0</v>
      </c>
      <c r="E177" s="37" t="n">
        <v>0</v>
      </c>
      <c r="F177" s="37" t="n">
        <v>0</v>
      </c>
      <c r="G177" s="37" t="n">
        <f aca="false">G123+G133</f>
        <v>3900.54</v>
      </c>
      <c r="H177" s="37" t="n">
        <f aca="false">D177+E177+F177+G177</f>
        <v>3900.54</v>
      </c>
      <c r="I177" s="57" t="n">
        <f aca="false">H123+H133</f>
        <v>3900.54</v>
      </c>
    </row>
    <row r="178" s="36" customFormat="true" ht="15" hidden="false" customHeight="true" outlineLevel="0" collapsed="false">
      <c r="A178" s="32"/>
      <c r="B178" s="70"/>
      <c r="C178" s="38" t="s">
        <v>42</v>
      </c>
      <c r="D178" s="35" t="n">
        <v>0</v>
      </c>
      <c r="E178" s="35" t="n">
        <v>0</v>
      </c>
      <c r="F178" s="35" t="n">
        <v>0</v>
      </c>
      <c r="G178" s="35" t="n">
        <f aca="false">G124+G134</f>
        <v>0</v>
      </c>
      <c r="H178" s="37" t="n">
        <f aca="false">D178+E178+F178+G178</f>
        <v>0</v>
      </c>
    </row>
    <row r="179" customFormat="false" ht="15" hidden="false" customHeight="true" outlineLevel="0" collapsed="false">
      <c r="A179" s="26"/>
      <c r="B179" s="51"/>
      <c r="C179" s="39" t="s">
        <v>43</v>
      </c>
      <c r="D179" s="37" t="n">
        <v>0</v>
      </c>
      <c r="E179" s="37" t="n">
        <v>0</v>
      </c>
      <c r="F179" s="37" t="n">
        <v>0</v>
      </c>
      <c r="G179" s="37" t="n">
        <f aca="false">G125+G135</f>
        <v>0</v>
      </c>
      <c r="H179" s="37" t="n">
        <f aca="false">D179+E179+F179+G179</f>
        <v>0</v>
      </c>
      <c r="I179" s="57" t="n">
        <f aca="false">H179+H178</f>
        <v>0</v>
      </c>
    </row>
    <row r="180" customFormat="false" ht="28.5" hidden="false" customHeight="true" outlineLevel="0" collapsed="false">
      <c r="A180" s="26" t="s">
        <v>192</v>
      </c>
      <c r="B180" s="51"/>
      <c r="C180" s="65" t="s">
        <v>163</v>
      </c>
      <c r="D180" s="27" t="n">
        <f aca="false">SUM(D181:D183)</f>
        <v>0</v>
      </c>
      <c r="E180" s="27" t="n">
        <f aca="false">SUM(E181:E183)</f>
        <v>0</v>
      </c>
      <c r="F180" s="27" t="n">
        <f aca="false">SUM(F181:F183)</f>
        <v>0</v>
      </c>
      <c r="G180" s="27" t="n">
        <f aca="false">SUM(G181:G183)</f>
        <v>-117.56574</v>
      </c>
      <c r="H180" s="27" t="n">
        <f aca="false">SUM(H181:H183)</f>
        <v>-117.56574</v>
      </c>
      <c r="L180" s="57"/>
    </row>
    <row r="181" customFormat="false" ht="15" hidden="false" customHeight="true" outlineLevel="0" collapsed="false">
      <c r="A181" s="26"/>
      <c r="B181" s="51"/>
      <c r="C181" s="30" t="s">
        <v>41</v>
      </c>
      <c r="D181" s="37" t="n">
        <f aca="false">D123</f>
        <v>0</v>
      </c>
      <c r="E181" s="37" t="n">
        <f aca="false">E123</f>
        <v>0</v>
      </c>
      <c r="F181" s="37" t="n">
        <f aca="false">F123</f>
        <v>0</v>
      </c>
      <c r="G181" s="37" t="n">
        <v>0</v>
      </c>
      <c r="H181" s="37" t="n">
        <f aca="false">SUM(D181:G181)</f>
        <v>0</v>
      </c>
    </row>
    <row r="182" s="36" customFormat="true" ht="15" hidden="false" customHeight="true" outlineLevel="0" collapsed="false">
      <c r="A182" s="32"/>
      <c r="B182" s="70"/>
      <c r="C182" s="38" t="s">
        <v>42</v>
      </c>
      <c r="D182" s="35" t="n">
        <f aca="false">D124</f>
        <v>0</v>
      </c>
      <c r="E182" s="35" t="n">
        <f aca="false">E124</f>
        <v>0</v>
      </c>
      <c r="F182" s="35" t="n">
        <f aca="false">F124</f>
        <v>0</v>
      </c>
      <c r="G182" s="35" t="n">
        <v>0</v>
      </c>
      <c r="H182" s="35" t="n">
        <f aca="false">SUM(D182:G182)</f>
        <v>0</v>
      </c>
    </row>
    <row r="183" customFormat="false" ht="15" hidden="false" customHeight="true" outlineLevel="0" collapsed="false">
      <c r="A183" s="26"/>
      <c r="B183" s="85" t="s">
        <v>164</v>
      </c>
      <c r="C183" s="39" t="s">
        <v>165</v>
      </c>
      <c r="D183" s="37" t="n">
        <f aca="false">D131</f>
        <v>0</v>
      </c>
      <c r="E183" s="37" t="n">
        <f aca="false">E131</f>
        <v>0</v>
      </c>
      <c r="F183" s="37" t="n">
        <f aca="false">F131</f>
        <v>0</v>
      </c>
      <c r="G183" s="37" t="n">
        <v>-117.56574</v>
      </c>
      <c r="H183" s="37" t="n">
        <f aca="false">SUM(D183:G183)</f>
        <v>-117.56574</v>
      </c>
    </row>
    <row r="184" s="78" customFormat="true" ht="17.25" hidden="false" customHeight="true" outlineLevel="0" collapsed="false">
      <c r="A184" s="73"/>
      <c r="B184" s="74"/>
      <c r="C184" s="75"/>
      <c r="D184" s="76"/>
      <c r="E184" s="76"/>
      <c r="F184" s="76"/>
      <c r="G184" s="77"/>
      <c r="H184" s="77"/>
    </row>
    <row r="185" customFormat="false" ht="12.75" hidden="false" customHeight="true" outlineLevel="0" collapsed="false">
      <c r="A185" s="79" t="s">
        <v>166</v>
      </c>
      <c r="B185" s="79"/>
      <c r="C185" s="79"/>
      <c r="D185" s="80"/>
      <c r="E185" s="80"/>
      <c r="F185" s="80"/>
      <c r="G185" s="80"/>
      <c r="H185" s="80"/>
    </row>
    <row r="186" customFormat="false" ht="12.75" hidden="false" customHeight="true" outlineLevel="0" collapsed="false">
      <c r="A186" s="81" t="s">
        <v>167</v>
      </c>
      <c r="B186" s="81"/>
      <c r="C186" s="81"/>
      <c r="D186" s="81"/>
      <c r="E186" s="81"/>
      <c r="F186" s="81"/>
      <c r="G186" s="81"/>
      <c r="H186" s="81"/>
    </row>
    <row r="187" customFormat="false" ht="12.75" hidden="false" customHeight="true" outlineLevel="0" collapsed="false">
      <c r="A187" s="82" t="s">
        <v>168</v>
      </c>
      <c r="B187" s="82"/>
      <c r="C187" s="82"/>
      <c r="D187" s="82"/>
      <c r="E187" s="82"/>
      <c r="F187" s="82"/>
      <c r="G187" s="82"/>
      <c r="H187" s="82"/>
    </row>
    <row r="188" customFormat="false" ht="12.75" hidden="false" customHeight="true" outlineLevel="0" collapsed="false">
      <c r="A188" s="83"/>
      <c r="B188" s="84"/>
      <c r="C188" s="84"/>
      <c r="D188" s="80"/>
      <c r="E188" s="80"/>
      <c r="F188" s="80"/>
      <c r="G188" s="80"/>
      <c r="H188" s="80"/>
    </row>
    <row r="189" customFormat="false" ht="12.75" hidden="false" customHeight="true" outlineLevel="0" collapsed="false">
      <c r="A189" s="79" t="s">
        <v>170</v>
      </c>
      <c r="B189" s="79"/>
      <c r="C189" s="79"/>
      <c r="D189" s="80"/>
      <c r="E189" s="80"/>
      <c r="F189" s="80"/>
      <c r="G189" s="80"/>
      <c r="H189" s="80"/>
    </row>
    <row r="190" customFormat="false" ht="12.75" hidden="false" customHeight="true" outlineLevel="0" collapsed="false">
      <c r="A190" s="81" t="s">
        <v>171</v>
      </c>
      <c r="B190" s="81"/>
      <c r="C190" s="81"/>
      <c r="D190" s="81"/>
      <c r="E190" s="81"/>
      <c r="F190" s="81"/>
      <c r="G190" s="81"/>
      <c r="H190" s="81"/>
    </row>
    <row r="191" customFormat="false" ht="12.75" hidden="false" customHeight="true" outlineLevel="0" collapsed="false">
      <c r="A191" s="82" t="s">
        <v>168</v>
      </c>
      <c r="B191" s="82"/>
      <c r="C191" s="82"/>
      <c r="D191" s="82"/>
      <c r="E191" s="82"/>
      <c r="F191" s="82"/>
      <c r="G191" s="82"/>
      <c r="H191" s="82"/>
    </row>
    <row r="192" customFormat="false" ht="12.75" hidden="false" customHeight="true" outlineLevel="0" collapsed="false">
      <c r="A192" s="83"/>
      <c r="B192" s="84"/>
      <c r="C192" s="84"/>
      <c r="D192" s="80"/>
      <c r="E192" s="80"/>
      <c r="F192" s="80"/>
      <c r="G192" s="80"/>
      <c r="H192" s="80"/>
    </row>
    <row r="193" customFormat="false" ht="12.75" hidden="false" customHeight="true" outlineLevel="0" collapsed="false">
      <c r="A193" s="79" t="s">
        <v>172</v>
      </c>
      <c r="B193" s="79"/>
      <c r="C193" s="84"/>
      <c r="D193" s="80"/>
      <c r="E193" s="80"/>
      <c r="F193" s="80"/>
      <c r="G193" s="80"/>
      <c r="H193" s="80"/>
    </row>
    <row r="194" customFormat="false" ht="12.75" hidden="false" customHeight="true" outlineLevel="0" collapsed="false">
      <c r="A194" s="81" t="s">
        <v>173</v>
      </c>
      <c r="B194" s="81"/>
      <c r="C194" s="81"/>
      <c r="D194" s="81"/>
      <c r="E194" s="81"/>
      <c r="F194" s="81"/>
      <c r="G194" s="81"/>
      <c r="H194" s="81"/>
    </row>
    <row r="195" customFormat="false" ht="12.75" hidden="false" customHeight="true" outlineLevel="0" collapsed="false">
      <c r="A195" s="82" t="s">
        <v>168</v>
      </c>
      <c r="B195" s="82"/>
      <c r="C195" s="82"/>
      <c r="D195" s="82"/>
      <c r="E195" s="82"/>
      <c r="F195" s="82"/>
      <c r="G195" s="82"/>
      <c r="H195" s="82"/>
    </row>
    <row r="196" customFormat="false" ht="12.75" hidden="false" customHeight="true" outlineLevel="0" collapsed="false">
      <c r="A196" s="83"/>
      <c r="B196" s="84"/>
      <c r="C196" s="84"/>
      <c r="D196" s="80"/>
      <c r="E196" s="80"/>
      <c r="F196" s="80"/>
      <c r="G196" s="80"/>
      <c r="H196" s="80"/>
    </row>
    <row r="197" customFormat="false" ht="12.75" hidden="false" customHeight="true" outlineLevel="0" collapsed="false">
      <c r="A197" s="79" t="s">
        <v>0</v>
      </c>
      <c r="B197" s="79"/>
      <c r="C197" s="84"/>
      <c r="D197" s="80"/>
      <c r="E197" s="80"/>
      <c r="F197" s="80"/>
      <c r="G197" s="80"/>
      <c r="H197" s="80"/>
    </row>
    <row r="198" customFormat="false" ht="12.75" hidden="false" customHeight="true" outlineLevel="0" collapsed="false">
      <c r="A198" s="81" t="s">
        <v>174</v>
      </c>
      <c r="B198" s="81"/>
      <c r="C198" s="81"/>
      <c r="D198" s="81"/>
      <c r="E198" s="81"/>
      <c r="F198" s="81"/>
      <c r="G198" s="81"/>
      <c r="H198" s="81"/>
    </row>
    <row r="199" customFormat="false" ht="12.75" hidden="false" customHeight="true" outlineLevel="0" collapsed="false">
      <c r="A199" s="82" t="s">
        <v>168</v>
      </c>
      <c r="B199" s="82"/>
      <c r="C199" s="82"/>
      <c r="D199" s="82"/>
      <c r="E199" s="82"/>
      <c r="F199" s="82"/>
      <c r="G199" s="82"/>
      <c r="H199" s="82"/>
    </row>
    <row r="202" customFormat="false" ht="12.75" hidden="false" customHeight="true" outlineLevel="0" collapsed="false">
      <c r="B202" s="1" t="s">
        <v>193</v>
      </c>
    </row>
    <row r="204" customFormat="false" ht="13.5" hidden="false" customHeight="true" outlineLevel="0" collapsed="false">
      <c r="C204" s="38" t="s">
        <v>42</v>
      </c>
      <c r="D204" s="57" t="n">
        <f aca="false">D174</f>
        <v>-7808.89041881208</v>
      </c>
      <c r="E204" s="57" t="n">
        <f aca="false">E174</f>
        <v>-2457.7619202967</v>
      </c>
      <c r="F204" s="57" t="n">
        <f aca="false">F174</f>
        <v>-9663.071017536</v>
      </c>
      <c r="G204" s="57" t="n">
        <f aca="false">G174</f>
        <v>-2623.46833995584</v>
      </c>
      <c r="H204" s="57" t="n">
        <f aca="false">H174</f>
        <v>-22553.1916966006</v>
      </c>
    </row>
    <row r="205" customFormat="false" ht="13.5" hidden="false" customHeight="true" outlineLevel="0" collapsed="false">
      <c r="C205" s="39" t="s">
        <v>43</v>
      </c>
      <c r="D205" s="57" t="n">
        <f aca="false">D175</f>
        <v>95393.5511566162</v>
      </c>
      <c r="E205" s="57" t="n">
        <f aca="false">E175</f>
        <v>18094.6279641423</v>
      </c>
      <c r="F205" s="57" t="n">
        <f aca="false">F175</f>
        <v>33993.639185208</v>
      </c>
      <c r="G205" s="57" t="n">
        <f aca="false">G175</f>
        <v>10587.0851378228</v>
      </c>
      <c r="H205" s="57" t="n">
        <f aca="false">H175</f>
        <v>158068.903443789</v>
      </c>
    </row>
    <row r="206" customFormat="false" ht="12.75" hidden="false" customHeight="true" outlineLevel="0" collapsed="false">
      <c r="C206" s="78" t="s">
        <v>194</v>
      </c>
      <c r="D206" s="57" t="n">
        <f aca="false">D204+D205</f>
        <v>87584.6607378041</v>
      </c>
      <c r="E206" s="57" t="n">
        <f aca="false">E204+E205</f>
        <v>15636.8660438456</v>
      </c>
      <c r="F206" s="57" t="n">
        <f aca="false">F204+F205</f>
        <v>24330.568167672</v>
      </c>
      <c r="G206" s="57" t="n">
        <f aca="false">G204+G205</f>
        <v>7963.61679786698</v>
      </c>
      <c r="H206" s="57" t="n">
        <f aca="false">H204+H205</f>
        <v>135515.711747189</v>
      </c>
    </row>
    <row r="209" customFormat="false" ht="12.75" hidden="false" customHeight="true" outlineLevel="0" collapsed="false">
      <c r="C209" s="1" t="s">
        <v>195</v>
      </c>
      <c r="D209" s="57" t="n">
        <f aca="false">D206+E206</f>
        <v>103221.52678165</v>
      </c>
    </row>
  </sheetData>
  <mergeCells count="28">
    <mergeCell ref="C1:H1"/>
    <mergeCell ref="D5:F5"/>
    <mergeCell ref="D7:F7"/>
    <mergeCell ref="B9:G9"/>
    <mergeCell ref="B10:G10"/>
    <mergeCell ref="B11:C11"/>
    <mergeCell ref="A12:H12"/>
    <mergeCell ref="A14:H14"/>
    <mergeCell ref="A15:H15"/>
    <mergeCell ref="A16:H16"/>
    <mergeCell ref="D19:G19"/>
    <mergeCell ref="C24:H24"/>
    <mergeCell ref="C26:H26"/>
    <mergeCell ref="C35:H35"/>
    <mergeCell ref="C44:H44"/>
    <mergeCell ref="C53:H53"/>
    <mergeCell ref="C66:H66"/>
    <mergeCell ref="C79:H79"/>
    <mergeCell ref="C104:H104"/>
    <mergeCell ref="C121:H121"/>
    <mergeCell ref="A186:H186"/>
    <mergeCell ref="A187:H187"/>
    <mergeCell ref="A190:H190"/>
    <mergeCell ref="A191:H191"/>
    <mergeCell ref="A194:H194"/>
    <mergeCell ref="A195:H195"/>
    <mergeCell ref="A198:H198"/>
    <mergeCell ref="A199:H199"/>
  </mergeCells>
  <printOptions headings="false" gridLines="false" gridLinesSet="true" horizontalCentered="true" verticalCentered="false"/>
  <pageMargins left="0.354166666666667" right="0.354166666666667" top="0.39375" bottom="0.39375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45" man="true" max="16383" min="0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C102"/>
  <sheetViews>
    <sheetView showFormulas="false" showGridLines="true" showRowColHeaders="true" showZeros="true" rightToLeft="false" tabSelected="false" showOutlineSymbols="true" defaultGridColor="true" view="pageBreakPreview" topLeftCell="A4" colorId="64" zoomScale="70" zoomScaleNormal="85" zoomScalePageLayoutView="70" workbookViewId="0">
      <selection pane="topLeft" activeCell="A19" activeCellId="0" sqref="A19"/>
    </sheetView>
  </sheetViews>
  <sheetFormatPr defaultColWidth="9.1484375" defaultRowHeight="12.75" zeroHeight="false" outlineLevelRow="0" outlineLevelCol="0"/>
  <cols>
    <col collapsed="false" customWidth="true" hidden="false" outlineLevel="0" max="1" min="1" style="86" width="5.71"/>
    <col collapsed="false" customWidth="true" hidden="false" outlineLevel="0" max="2" min="2" style="86" width="11.57"/>
    <col collapsed="false" customWidth="true" hidden="false" outlineLevel="0" max="3" min="3" style="86" width="40.71"/>
    <col collapsed="false" customWidth="true" hidden="false" outlineLevel="0" max="10" min="4" style="86" width="12.71"/>
    <col collapsed="false" customWidth="true" hidden="false" outlineLevel="0" max="11" min="11" style="1" width="16"/>
    <col collapsed="false" customWidth="true" hidden="false" outlineLevel="0" max="12" min="12" style="1" width="13.57"/>
    <col collapsed="false" customWidth="true" hidden="false" outlineLevel="0" max="13" min="13" style="1" width="11"/>
    <col collapsed="false" customWidth="true" hidden="false" outlineLevel="0" max="14" min="14" style="1" width="17.29"/>
    <col collapsed="false" customWidth="true" hidden="false" outlineLevel="0" max="15" min="15" style="1" width="28.42"/>
    <col collapsed="false" customWidth="true" hidden="false" outlineLevel="0" max="16" min="16" style="1" width="15.71"/>
    <col collapsed="false" customWidth="true" hidden="false" outlineLevel="0" max="17" min="17" style="1" width="14.86"/>
    <col collapsed="false" customWidth="true" hidden="false" outlineLevel="0" max="18" min="18" style="1" width="17.57"/>
    <col collapsed="false" customWidth="true" hidden="false" outlineLevel="0" max="19" min="19" style="1" width="16.71"/>
    <col collapsed="false" customWidth="false" hidden="false" outlineLevel="0" max="20" min="20" style="1" width="9.14"/>
    <col collapsed="false" customWidth="true" hidden="false" outlineLevel="0" max="21" min="21" style="1" width="26.42"/>
    <col collapsed="false" customWidth="false" hidden="false" outlineLevel="0" max="25" min="22" style="1" width="9.14"/>
    <col collapsed="false" customWidth="true" hidden="false" outlineLevel="0" max="26" min="26" style="1" width="18.57"/>
    <col collapsed="false" customWidth="true" hidden="false" outlineLevel="0" max="27" min="27" style="1" width="16.29"/>
    <col collapsed="false" customWidth="false" hidden="false" outlineLevel="0" max="28" min="28" style="1" width="9.14"/>
    <col collapsed="false" customWidth="true" hidden="true" outlineLevel="0" max="29" min="29" style="1" width="72.71"/>
    <col collapsed="false" customWidth="false" hidden="false" outlineLevel="0" max="30" min="30" style="1" width="9.14"/>
    <col collapsed="false" customWidth="true" hidden="false" outlineLevel="0" max="31" min="31" style="1" width="21.29"/>
    <col collapsed="false" customWidth="false" hidden="false" outlineLevel="0" max="16384" min="32" style="1" width="9.14"/>
  </cols>
  <sheetData>
    <row r="1" customFormat="false" ht="12.75" hidden="false" customHeight="true" outlineLevel="0" collapsed="false">
      <c r="A1" s="87"/>
      <c r="B1" s="87"/>
      <c r="C1" s="87"/>
      <c r="D1" s="87"/>
    </row>
    <row r="2" customFormat="false" ht="13.5" hidden="false" customHeight="true" outlineLevel="0" collapsed="false">
      <c r="A2" s="88"/>
      <c r="B2" s="88"/>
      <c r="C2" s="88"/>
      <c r="D2" s="88"/>
      <c r="E2" s="88"/>
      <c r="F2" s="88"/>
      <c r="G2" s="88"/>
      <c r="H2" s="88"/>
      <c r="I2" s="89"/>
      <c r="J2" s="90" t="s">
        <v>196</v>
      </c>
    </row>
    <row r="3" customFormat="false" ht="13.5" hidden="false" customHeight="true" outlineLevel="0" collapsed="false">
      <c r="A3" s="91"/>
      <c r="B3" s="89"/>
      <c r="C3" s="89"/>
      <c r="D3" s="89"/>
      <c r="E3" s="89"/>
      <c r="F3" s="89"/>
      <c r="G3" s="89"/>
      <c r="H3" s="89"/>
      <c r="I3" s="89"/>
      <c r="J3" s="89"/>
    </row>
    <row r="4" customFormat="false" ht="57" hidden="false" customHeight="true" outlineLevel="0" collapsed="false">
      <c r="A4" s="92"/>
      <c r="B4" s="93" t="s">
        <v>11</v>
      </c>
      <c r="C4" s="93"/>
      <c r="D4" s="93"/>
      <c r="E4" s="93"/>
      <c r="F4" s="93"/>
      <c r="G4" s="93"/>
      <c r="H4" s="93"/>
      <c r="I4" s="93"/>
      <c r="J4" s="92"/>
    </row>
    <row r="5" customFormat="false" ht="13.5" hidden="false" customHeight="true" outlineLevel="0" collapsed="false">
      <c r="A5" s="92"/>
      <c r="B5" s="94" t="s">
        <v>197</v>
      </c>
      <c r="C5" s="94"/>
      <c r="D5" s="94"/>
      <c r="E5" s="94"/>
      <c r="F5" s="94"/>
      <c r="G5" s="94"/>
      <c r="H5" s="94"/>
      <c r="I5" s="94"/>
      <c r="J5" s="92"/>
    </row>
    <row r="6" customFormat="false" ht="13.5" hidden="false" customHeight="true" outlineLevel="0" collapsed="false">
      <c r="A6" s="91"/>
      <c r="B6" s="89"/>
      <c r="C6" s="89"/>
      <c r="D6" s="89"/>
      <c r="E6" s="89"/>
      <c r="F6" s="89"/>
      <c r="G6" s="89"/>
      <c r="H6" s="89"/>
      <c r="I6" s="89"/>
      <c r="J6" s="89"/>
    </row>
    <row r="7" customFormat="false" ht="17.25" hidden="false" customHeight="true" outlineLevel="0" collapsed="false">
      <c r="A7" s="95"/>
      <c r="B7" s="95"/>
      <c r="C7" s="95"/>
      <c r="D7" s="89"/>
      <c r="E7" s="89"/>
      <c r="F7" s="89"/>
      <c r="G7" s="89"/>
      <c r="H7" s="89"/>
      <c r="I7" s="89"/>
      <c r="J7" s="89"/>
      <c r="O7" s="96" t="n">
        <v>-216.22</v>
      </c>
    </row>
    <row r="8" customFormat="false" ht="17.25" hidden="false" customHeight="true" outlineLevel="0" collapsed="false">
      <c r="A8" s="97" t="s">
        <v>198</v>
      </c>
      <c r="B8" s="97"/>
      <c r="C8" s="97"/>
      <c r="D8" s="98" t="s">
        <v>199</v>
      </c>
      <c r="E8" s="98"/>
      <c r="F8" s="98"/>
      <c r="G8" s="98"/>
      <c r="H8" s="98"/>
      <c r="I8" s="98"/>
      <c r="J8" s="99"/>
      <c r="O8" s="96" t="n">
        <v>0</v>
      </c>
    </row>
    <row r="9" customFormat="false" ht="17.25" hidden="false" customHeight="true" outlineLevel="0" collapsed="false">
      <c r="A9" s="95"/>
      <c r="B9" s="95"/>
      <c r="C9" s="89"/>
      <c r="D9" s="100" t="s">
        <v>200</v>
      </c>
      <c r="E9" s="100"/>
      <c r="F9" s="100"/>
      <c r="G9" s="100"/>
      <c r="H9" s="100"/>
      <c r="I9" s="100"/>
      <c r="J9" s="89"/>
      <c r="O9" s="96" t="n">
        <v>-175.23</v>
      </c>
    </row>
    <row r="10" customFormat="false" ht="17.25" hidden="false" customHeight="true" outlineLevel="0" collapsed="false">
      <c r="A10" s="91"/>
      <c r="B10" s="89"/>
      <c r="C10" s="89"/>
      <c r="D10" s="89"/>
      <c r="E10" s="89"/>
      <c r="F10" s="89"/>
      <c r="G10" s="89"/>
      <c r="H10" s="89"/>
      <c r="I10" s="89"/>
      <c r="J10" s="89"/>
      <c r="O10" s="101" t="n">
        <v>-38.86</v>
      </c>
      <c r="P10" s="102"/>
    </row>
    <row r="11" customFormat="false" ht="54" hidden="false" customHeight="true" outlineLevel="0" collapsed="false">
      <c r="A11" s="103" t="s">
        <v>201</v>
      </c>
      <c r="B11" s="103"/>
      <c r="C11" s="103"/>
      <c r="D11" s="104" t="s">
        <v>11</v>
      </c>
      <c r="E11" s="104"/>
      <c r="F11" s="104"/>
      <c r="G11" s="104"/>
      <c r="H11" s="104"/>
      <c r="I11" s="104"/>
      <c r="J11" s="92"/>
      <c r="O11" s="105" t="n">
        <v>-2.13</v>
      </c>
      <c r="P11" s="106"/>
      <c r="AC11" s="107"/>
    </row>
    <row r="12" customFormat="false" ht="17.25" hidden="false" customHeight="true" outlineLevel="0" collapsed="false">
      <c r="A12" s="91"/>
      <c r="B12" s="89"/>
      <c r="C12" s="89"/>
      <c r="D12" s="89"/>
      <c r="E12" s="89"/>
      <c r="F12" s="89"/>
      <c r="G12" s="89"/>
      <c r="H12" s="89"/>
      <c r="I12" s="89"/>
      <c r="J12" s="89"/>
      <c r="O12" s="105" t="n">
        <v>-5.74</v>
      </c>
      <c r="P12" s="106"/>
    </row>
    <row r="13" customFormat="false" ht="17.25" hidden="false" customHeight="true" outlineLevel="0" collapsed="false">
      <c r="A13" s="103" t="s">
        <v>15</v>
      </c>
      <c r="B13" s="103"/>
      <c r="C13" s="103"/>
      <c r="D13" s="108" t="n">
        <f aca="false">H80</f>
        <v>8926.835</v>
      </c>
      <c r="E13" s="109" t="s">
        <v>202</v>
      </c>
      <c r="F13" s="110"/>
      <c r="G13" s="89"/>
      <c r="H13" s="89"/>
      <c r="I13" s="89"/>
      <c r="J13" s="89"/>
      <c r="O13" s="105" t="n">
        <v>-419.4</v>
      </c>
      <c r="P13" s="106"/>
    </row>
    <row r="14" customFormat="false" ht="13.5" hidden="false" customHeight="true" outlineLevel="0" collapsed="false">
      <c r="A14" s="111"/>
      <c r="B14" s="112"/>
      <c r="C14" s="112"/>
      <c r="D14" s="113"/>
      <c r="E14" s="109"/>
      <c r="F14" s="89"/>
      <c r="G14" s="89"/>
      <c r="H14" s="89"/>
      <c r="I14" s="89"/>
      <c r="J14" s="89"/>
      <c r="O14" s="106"/>
      <c r="P14" s="106"/>
      <c r="Q14" s="42" t="n">
        <v>666.28</v>
      </c>
    </row>
    <row r="15" customFormat="false" ht="13.5" hidden="false" customHeight="true" outlineLevel="0" collapsed="false">
      <c r="A15" s="103" t="s">
        <v>203</v>
      </c>
      <c r="B15" s="103"/>
      <c r="C15" s="103"/>
      <c r="D15" s="108" t="n">
        <f aca="false">I80</f>
        <v>533.03581</v>
      </c>
      <c r="E15" s="109" t="s">
        <v>202</v>
      </c>
      <c r="F15" s="110"/>
      <c r="G15" s="89"/>
      <c r="H15" s="89"/>
      <c r="I15" s="89"/>
      <c r="J15" s="89"/>
      <c r="O15" s="106"/>
      <c r="P15" s="106"/>
      <c r="Q15" s="46" t="n">
        <v>469.61</v>
      </c>
    </row>
    <row r="16" customFormat="false" ht="13.5" hidden="false" customHeight="true" outlineLevel="0" collapsed="false">
      <c r="A16" s="91"/>
      <c r="B16" s="89"/>
      <c r="C16" s="89"/>
      <c r="D16" s="113"/>
      <c r="E16" s="109"/>
      <c r="F16" s="89"/>
      <c r="G16" s="89"/>
      <c r="H16" s="89"/>
      <c r="I16" s="89"/>
      <c r="J16" s="89"/>
      <c r="Q16" s="46" t="n">
        <v>0</v>
      </c>
    </row>
    <row r="17" customFormat="false" ht="13.5" hidden="false" customHeight="true" outlineLevel="0" collapsed="false">
      <c r="A17" s="103" t="s">
        <v>204</v>
      </c>
      <c r="B17" s="103"/>
      <c r="C17" s="103"/>
      <c r="D17" s="108" t="n">
        <f aca="false">D13/L17</f>
        <v>7.11018319394664</v>
      </c>
      <c r="E17" s="109" t="s">
        <v>205</v>
      </c>
      <c r="F17" s="113"/>
      <c r="G17" s="89"/>
      <c r="H17" s="89"/>
      <c r="I17" s="89"/>
      <c r="J17" s="89"/>
      <c r="L17" s="1" t="n">
        <v>1255.5</v>
      </c>
      <c r="O17" s="1" t="n">
        <v>628.78</v>
      </c>
      <c r="Q17" s="46" t="n">
        <v>194.33</v>
      </c>
    </row>
    <row r="18" customFormat="false" ht="13.5" hidden="false" customHeight="true" outlineLevel="0" collapsed="false">
      <c r="A18" s="91"/>
      <c r="B18" s="89"/>
      <c r="C18" s="89"/>
      <c r="D18" s="89"/>
      <c r="E18" s="89"/>
      <c r="F18" s="89"/>
      <c r="G18" s="89"/>
      <c r="H18" s="89"/>
      <c r="I18" s="89"/>
      <c r="J18" s="89"/>
      <c r="O18" s="1" t="n">
        <v>97.67</v>
      </c>
      <c r="Q18" s="46" t="n">
        <v>2.34</v>
      </c>
    </row>
    <row r="19" customFormat="false" ht="13.5" hidden="false" customHeight="true" outlineLevel="0" collapsed="false">
      <c r="A19" s="103" t="s">
        <v>206</v>
      </c>
      <c r="B19" s="103"/>
      <c r="C19" s="103"/>
      <c r="D19" s="103"/>
      <c r="E19" s="103"/>
      <c r="F19" s="103"/>
      <c r="G19" s="103"/>
      <c r="H19" s="103"/>
      <c r="I19" s="103"/>
      <c r="J19" s="103"/>
      <c r="O19" s="1" t="n">
        <v>334.76</v>
      </c>
      <c r="Q19" s="46" t="n">
        <v>14.82835</v>
      </c>
    </row>
    <row r="20" customFormat="false" ht="13.5" hidden="false" customHeight="true" outlineLevel="0" collapsed="false">
      <c r="A20" s="89"/>
      <c r="B20" s="89"/>
      <c r="C20" s="89"/>
      <c r="D20" s="89"/>
      <c r="E20" s="89"/>
      <c r="F20" s="89"/>
      <c r="G20" s="89"/>
      <c r="H20" s="89"/>
      <c r="I20" s="89"/>
      <c r="J20" s="89"/>
      <c r="O20" s="1" t="n">
        <v>196.35</v>
      </c>
    </row>
    <row r="21" customFormat="false" ht="13.5" hidden="false" customHeight="true" outlineLevel="0" collapsed="false">
      <c r="A21" s="114" t="s">
        <v>207</v>
      </c>
      <c r="B21" s="114" t="s">
        <v>208</v>
      </c>
      <c r="C21" s="114" t="s">
        <v>209</v>
      </c>
      <c r="D21" s="114" t="s">
        <v>15</v>
      </c>
      <c r="E21" s="114"/>
      <c r="F21" s="114"/>
      <c r="G21" s="114"/>
      <c r="H21" s="114"/>
      <c r="I21" s="114" t="s">
        <v>210</v>
      </c>
      <c r="J21" s="114" t="s">
        <v>211</v>
      </c>
      <c r="O21" s="1" t="n">
        <v>0</v>
      </c>
    </row>
    <row r="22" customFormat="false" ht="48.75" hidden="false" customHeight="true" outlineLevel="0" collapsed="false">
      <c r="A22" s="114"/>
      <c r="B22" s="114"/>
      <c r="C22" s="114"/>
      <c r="D22" s="114" t="s">
        <v>212</v>
      </c>
      <c r="E22" s="114" t="s">
        <v>213</v>
      </c>
      <c r="F22" s="114" t="s">
        <v>214</v>
      </c>
      <c r="G22" s="114" t="s">
        <v>215</v>
      </c>
      <c r="H22" s="114" t="s">
        <v>216</v>
      </c>
      <c r="I22" s="114"/>
      <c r="J22" s="114"/>
      <c r="O22" s="115" t="n">
        <v>52.01257</v>
      </c>
      <c r="P22" s="42"/>
      <c r="Q22" s="42"/>
    </row>
    <row r="23" customFormat="false" ht="13.5" hidden="false" customHeight="true" outlineLevel="0" collapsed="false">
      <c r="A23" s="116" t="n">
        <v>1</v>
      </c>
      <c r="B23" s="116" t="n">
        <v>2</v>
      </c>
      <c r="C23" s="116" t="n">
        <v>3</v>
      </c>
      <c r="D23" s="116" t="n">
        <v>4</v>
      </c>
      <c r="E23" s="116" t="n">
        <v>5</v>
      </c>
      <c r="F23" s="116" t="n">
        <v>6</v>
      </c>
      <c r="G23" s="116" t="n">
        <v>7</v>
      </c>
      <c r="H23" s="116" t="n">
        <v>8</v>
      </c>
      <c r="I23" s="116" t="n">
        <v>9</v>
      </c>
      <c r="J23" s="116" t="n">
        <v>10</v>
      </c>
      <c r="M23" s="117"/>
      <c r="N23" s="117"/>
      <c r="O23" s="118"/>
      <c r="P23" s="46"/>
      <c r="Q23" s="46"/>
      <c r="Z23" s="119"/>
    </row>
    <row r="24" customFormat="false" ht="13.5" hidden="false" customHeight="true" outlineLevel="0" collapsed="false">
      <c r="A24" s="120" t="n">
        <v>1</v>
      </c>
      <c r="B24" s="121"/>
      <c r="C24" s="25" t="s">
        <v>217</v>
      </c>
      <c r="D24" s="122"/>
      <c r="E24" s="122"/>
      <c r="F24" s="122"/>
      <c r="G24" s="122"/>
      <c r="H24" s="122"/>
      <c r="I24" s="122"/>
      <c r="J24" s="123" t="n">
        <f aca="false">(H25+H26+H27)/$L$17</f>
        <v>3.82794105933891</v>
      </c>
      <c r="K24" s="124"/>
      <c r="L24" s="125"/>
      <c r="M24" s="126"/>
      <c r="N24" s="126"/>
      <c r="O24" s="118"/>
      <c r="P24" s="117"/>
      <c r="Q24" s="42" t="n">
        <v>628.78</v>
      </c>
      <c r="R24" s="42" t="n">
        <v>14371.37</v>
      </c>
      <c r="Y24" s="119"/>
    </row>
    <row r="25" customFormat="false" ht="13.5" hidden="false" customHeight="true" outlineLevel="0" collapsed="false">
      <c r="A25" s="120"/>
      <c r="B25" s="121" t="s">
        <v>218</v>
      </c>
      <c r="C25" s="30" t="s">
        <v>41</v>
      </c>
      <c r="D25" s="127" t="n">
        <v>1805.64</v>
      </c>
      <c r="E25" s="127"/>
      <c r="F25" s="127"/>
      <c r="G25" s="127" t="n">
        <v>7.72</v>
      </c>
      <c r="H25" s="127" t="n">
        <f aca="false">SUM(D25:G25)</f>
        <v>1813.36</v>
      </c>
      <c r="I25" s="128" t="n">
        <v>94.01</v>
      </c>
      <c r="J25" s="123"/>
      <c r="L25" s="129"/>
      <c r="M25" s="126"/>
      <c r="N25" s="126"/>
      <c r="O25" s="118"/>
      <c r="P25" s="126"/>
      <c r="Q25" s="46" t="n">
        <v>97.67</v>
      </c>
      <c r="R25" s="46" t="n">
        <v>4825.85</v>
      </c>
    </row>
    <row r="26" customFormat="false" ht="13.5" hidden="false" customHeight="true" outlineLevel="0" collapsed="false">
      <c r="A26" s="120"/>
      <c r="B26" s="121"/>
      <c r="C26" s="38" t="s">
        <v>42</v>
      </c>
      <c r="D26" s="130" t="n">
        <v>-715.91</v>
      </c>
      <c r="E26" s="130" t="n">
        <v>0</v>
      </c>
      <c r="F26" s="130" t="n">
        <v>0</v>
      </c>
      <c r="G26" s="130" t="n">
        <v>0</v>
      </c>
      <c r="H26" s="130" t="n">
        <f aca="false">(SUM(D26:G26))</f>
        <v>-715.91</v>
      </c>
      <c r="I26" s="130" t="n">
        <v>-40.1</v>
      </c>
      <c r="J26" s="123"/>
      <c r="K26" s="125"/>
      <c r="L26" s="125"/>
      <c r="M26" s="126"/>
      <c r="N26" s="126"/>
      <c r="O26" s="118"/>
      <c r="P26" s="126"/>
      <c r="Q26" s="46" t="n">
        <v>334.76</v>
      </c>
      <c r="R26" s="46" t="n">
        <v>7981.08</v>
      </c>
    </row>
    <row r="27" customFormat="false" ht="13.5" hidden="false" customHeight="true" outlineLevel="0" collapsed="false">
      <c r="A27" s="120"/>
      <c r="B27" s="121"/>
      <c r="C27" s="39" t="s">
        <v>43</v>
      </c>
      <c r="D27" s="127" t="n">
        <v>3708.53</v>
      </c>
      <c r="E27" s="127" t="n">
        <v>0</v>
      </c>
      <c r="F27" s="127" t="n">
        <v>0</v>
      </c>
      <c r="G27" s="127" t="n">
        <v>0</v>
      </c>
      <c r="H27" s="127" t="n">
        <f aca="false">SUM(D27:G27)</f>
        <v>3708.53</v>
      </c>
      <c r="I27" s="127" t="n">
        <v>318.21</v>
      </c>
      <c r="J27" s="123"/>
      <c r="K27" s="125"/>
      <c r="L27" s="125"/>
      <c r="M27" s="126"/>
      <c r="N27" s="126"/>
      <c r="O27" s="118"/>
      <c r="P27" s="126"/>
      <c r="Q27" s="46" t="n">
        <v>196.35</v>
      </c>
      <c r="R27" s="46" t="n">
        <v>1564.44</v>
      </c>
    </row>
    <row r="28" customFormat="false" ht="18.75" hidden="false" customHeight="true" outlineLevel="0" collapsed="false">
      <c r="A28" s="120" t="n">
        <v>2</v>
      </c>
      <c r="B28" s="121"/>
      <c r="C28" s="25" t="s">
        <v>219</v>
      </c>
      <c r="D28" s="128"/>
      <c r="E28" s="128"/>
      <c r="F28" s="128"/>
      <c r="G28" s="128"/>
      <c r="H28" s="128"/>
      <c r="I28" s="128"/>
      <c r="J28" s="123" t="n">
        <f aca="false">(H29+H30+H31)/$L$17</f>
        <v>0.572664277180406</v>
      </c>
      <c r="K28" s="131"/>
      <c r="L28" s="125"/>
      <c r="M28" s="126"/>
      <c r="N28" s="126"/>
      <c r="O28" s="1" t="n">
        <v>3901.81</v>
      </c>
      <c r="P28" s="126"/>
      <c r="Q28" s="46" t="n">
        <v>0</v>
      </c>
      <c r="R28" s="46" t="n">
        <v>0</v>
      </c>
    </row>
    <row r="29" customFormat="false" ht="15" hidden="false" customHeight="true" outlineLevel="0" collapsed="false">
      <c r="A29" s="120"/>
      <c r="B29" s="121" t="s">
        <v>220</v>
      </c>
      <c r="C29" s="30" t="s">
        <v>41</v>
      </c>
      <c r="D29" s="127"/>
      <c r="E29" s="127" t="n">
        <v>265.43</v>
      </c>
      <c r="F29" s="127" t="n">
        <v>38.86</v>
      </c>
      <c r="G29" s="127" t="n">
        <v>2.13</v>
      </c>
      <c r="H29" s="127" t="n">
        <f aca="false">SUM(D29:G29)</f>
        <v>306.42</v>
      </c>
      <c r="I29" s="128" t="n">
        <v>20.95</v>
      </c>
      <c r="J29" s="123"/>
      <c r="K29" s="125"/>
      <c r="L29" s="125"/>
      <c r="M29" s="132"/>
      <c r="N29" s="132"/>
      <c r="O29" s="133" t="n">
        <v>3885.12</v>
      </c>
      <c r="P29" s="126"/>
      <c r="Q29" s="46" t="n">
        <v>52.01257</v>
      </c>
      <c r="R29" s="46" t="n">
        <v>2860.17123</v>
      </c>
      <c r="U29" s="134"/>
      <c r="V29" s="134"/>
      <c r="W29" s="134"/>
      <c r="X29" s="134"/>
      <c r="Y29" s="135"/>
      <c r="Z29" s="135"/>
      <c r="AA29" s="136"/>
    </row>
    <row r="30" customFormat="false" ht="15" hidden="false" customHeight="true" outlineLevel="0" collapsed="false">
      <c r="A30" s="120"/>
      <c r="B30" s="121"/>
      <c r="C30" s="38" t="s">
        <v>42</v>
      </c>
      <c r="D30" s="130" t="n">
        <v>0</v>
      </c>
      <c r="E30" s="130" t="n">
        <f aca="false">-175.23</f>
        <v>-175.23</v>
      </c>
      <c r="F30" s="130" t="n">
        <f aca="false">-38.86</f>
        <v>-38.86</v>
      </c>
      <c r="G30" s="130" t="n">
        <v>-2.13</v>
      </c>
      <c r="H30" s="137" t="n">
        <f aca="false">-216.22</f>
        <v>-216.22</v>
      </c>
      <c r="I30" s="130" t="n">
        <f aca="false">-5.74</f>
        <v>-5.74</v>
      </c>
      <c r="J30" s="123"/>
      <c r="K30" s="125"/>
      <c r="L30" s="125"/>
      <c r="M30" s="132"/>
      <c r="N30" s="132"/>
      <c r="O30" s="133" t="n">
        <v>16.69</v>
      </c>
      <c r="P30" s="133"/>
      <c r="Q30" s="138"/>
      <c r="S30" s="117"/>
      <c r="U30" s="139"/>
      <c r="V30" s="139"/>
      <c r="W30" s="139"/>
      <c r="X30" s="139"/>
      <c r="Y30" s="140"/>
      <c r="Z30" s="140"/>
      <c r="AA30" s="141"/>
    </row>
    <row r="31" customFormat="false" ht="13.5" hidden="false" customHeight="true" outlineLevel="0" collapsed="false">
      <c r="A31" s="120"/>
      <c r="B31" s="121"/>
      <c r="C31" s="39" t="s">
        <v>43</v>
      </c>
      <c r="D31" s="127" t="n">
        <v>97.67</v>
      </c>
      <c r="E31" s="127" t="n">
        <v>334.76</v>
      </c>
      <c r="F31" s="127" t="n">
        <v>196.35</v>
      </c>
      <c r="G31" s="127" t="n">
        <v>0</v>
      </c>
      <c r="H31" s="127" t="n">
        <v>628.78</v>
      </c>
      <c r="I31" s="127" t="n">
        <v>52.01</v>
      </c>
      <c r="J31" s="123"/>
      <c r="K31" s="125"/>
      <c r="L31" s="125"/>
      <c r="M31" s="132"/>
      <c r="N31" s="43" t="n">
        <v>3708.53</v>
      </c>
      <c r="O31" s="142" t="n">
        <v>0</v>
      </c>
      <c r="P31" s="143"/>
      <c r="Q31" s="143"/>
      <c r="R31" s="143"/>
      <c r="S31" s="126"/>
      <c r="U31" s="139"/>
      <c r="V31" s="139"/>
      <c r="W31" s="139"/>
      <c r="X31" s="139"/>
      <c r="Y31" s="140"/>
      <c r="Z31" s="140"/>
      <c r="AA31" s="141"/>
    </row>
    <row r="32" customFormat="false" ht="13.5" hidden="false" customHeight="true" outlineLevel="0" collapsed="false">
      <c r="A32" s="120" t="n">
        <v>3</v>
      </c>
      <c r="B32" s="121"/>
      <c r="C32" s="25" t="s">
        <v>221</v>
      </c>
      <c r="D32" s="128"/>
      <c r="E32" s="128"/>
      <c r="F32" s="128"/>
      <c r="G32" s="128"/>
      <c r="H32" s="128"/>
      <c r="I32" s="128"/>
      <c r="J32" s="123" t="n">
        <f aca="false">(H33+H34+H35)/$L$17</f>
        <v>0.641091198725607</v>
      </c>
      <c r="K32" s="131"/>
      <c r="L32" s="125"/>
      <c r="M32" s="132"/>
      <c r="N32" s="47" t="n">
        <v>3708.53</v>
      </c>
      <c r="O32" s="142" t="n">
        <v>0</v>
      </c>
      <c r="P32" s="143"/>
      <c r="Q32" s="143"/>
      <c r="R32" s="143"/>
      <c r="S32" s="126"/>
      <c r="U32" s="139"/>
      <c r="V32" s="139"/>
      <c r="W32" s="139"/>
      <c r="X32" s="139"/>
      <c r="Y32" s="140"/>
      <c r="Z32" s="140"/>
      <c r="AA32" s="141"/>
    </row>
    <row r="33" customFormat="false" ht="17.25" hidden="false" customHeight="true" outlineLevel="0" collapsed="false">
      <c r="A33" s="120"/>
      <c r="B33" s="121" t="s">
        <v>222</v>
      </c>
      <c r="C33" s="30" t="s">
        <v>41</v>
      </c>
      <c r="D33" s="127" t="n">
        <v>454.97</v>
      </c>
      <c r="E33" s="127" t="n">
        <v>18.38</v>
      </c>
      <c r="F33" s="127" t="n">
        <v>303.34</v>
      </c>
      <c r="G33" s="127" t="n">
        <v>28.48</v>
      </c>
      <c r="H33" s="127" t="n">
        <f aca="false">SUM(D33:G33)</f>
        <v>805.17</v>
      </c>
      <c r="I33" s="128" t="n">
        <v>44.2</v>
      </c>
      <c r="J33" s="123"/>
      <c r="K33" s="125"/>
      <c r="L33" s="125"/>
      <c r="M33" s="144"/>
      <c r="N33" s="47" t="n">
        <v>0</v>
      </c>
      <c r="O33" s="142" t="n">
        <v>345.95877</v>
      </c>
      <c r="P33" s="145" t="n">
        <f aca="false">SUM(P34:P37)</f>
        <v>-28.86</v>
      </c>
      <c r="Q33" s="145" t="n">
        <f aca="false">SUM(Q34:Q37)</f>
        <v>-28.86</v>
      </c>
      <c r="R33" s="145" t="n">
        <f aca="false">SUM(R34:R37)</f>
        <v>-28.86</v>
      </c>
      <c r="S33" s="126"/>
      <c r="U33" s="139"/>
      <c r="V33" s="139"/>
      <c r="W33" s="139"/>
      <c r="X33" s="139"/>
      <c r="Y33" s="140"/>
      <c r="Z33" s="140"/>
      <c r="AA33" s="141"/>
    </row>
    <row r="34" customFormat="false" ht="17.25" hidden="false" customHeight="true" outlineLevel="0" collapsed="false">
      <c r="A34" s="120"/>
      <c r="B34" s="121"/>
      <c r="C34" s="38" t="s">
        <v>42</v>
      </c>
      <c r="D34" s="130" t="n">
        <f aca="false">-332.86</f>
        <v>-332.86</v>
      </c>
      <c r="E34" s="130" t="n">
        <f aca="false">-13.34</f>
        <v>-13.34</v>
      </c>
      <c r="F34" s="130" t="n">
        <f aca="false">-291.88</f>
        <v>-291.88</v>
      </c>
      <c r="G34" s="130" t="n">
        <f aca="false">-28.48</f>
        <v>-28.48</v>
      </c>
      <c r="H34" s="137" t="n">
        <f aca="false">-666.56</f>
        <v>-666.56</v>
      </c>
      <c r="I34" s="130" t="n">
        <f aca="false">-34.02</f>
        <v>-34.02</v>
      </c>
      <c r="J34" s="123"/>
      <c r="K34" s="125"/>
      <c r="L34" s="125"/>
      <c r="M34" s="144"/>
      <c r="N34" s="47" t="n">
        <v>0</v>
      </c>
      <c r="O34" s="42" t="n">
        <v>445.44</v>
      </c>
      <c r="P34" s="146" t="n">
        <v>-27.65</v>
      </c>
      <c r="Q34" s="146" t="n">
        <v>-27.65</v>
      </c>
      <c r="R34" s="146" t="n">
        <v>-27.65</v>
      </c>
      <c r="S34" s="126"/>
      <c r="U34" s="139"/>
      <c r="V34" s="139"/>
      <c r="W34" s="139"/>
      <c r="X34" s="139"/>
      <c r="Y34" s="140"/>
      <c r="Z34" s="140"/>
      <c r="AA34" s="141"/>
    </row>
    <row r="35" customFormat="false" ht="17.25" hidden="false" customHeight="true" outlineLevel="0" collapsed="false">
      <c r="A35" s="120"/>
      <c r="B35" s="121"/>
      <c r="C35" s="39" t="s">
        <v>43</v>
      </c>
      <c r="D35" s="127" t="n">
        <v>469.61</v>
      </c>
      <c r="E35" s="127" t="n">
        <v>0</v>
      </c>
      <c r="F35" s="127" t="n">
        <v>194.33</v>
      </c>
      <c r="G35" s="127" t="n">
        <v>2.34</v>
      </c>
      <c r="H35" s="127" t="n">
        <v>666.28</v>
      </c>
      <c r="I35" s="127" t="n">
        <v>14.83</v>
      </c>
      <c r="J35" s="123"/>
      <c r="K35" s="125"/>
      <c r="L35" s="125"/>
      <c r="M35" s="144"/>
      <c r="N35" s="47" t="n">
        <v>0</v>
      </c>
      <c r="O35" s="46" t="n">
        <v>201.97</v>
      </c>
      <c r="P35" s="146" t="n">
        <v>0</v>
      </c>
      <c r="Q35" s="146" t="n">
        <v>0</v>
      </c>
      <c r="R35" s="146" t="n">
        <v>0</v>
      </c>
      <c r="S35" s="126"/>
      <c r="U35" s="139"/>
      <c r="V35" s="139"/>
      <c r="W35" s="139"/>
      <c r="X35" s="139"/>
      <c r="Y35" s="140"/>
      <c r="Z35" s="140"/>
      <c r="AA35" s="141"/>
    </row>
    <row r="36" customFormat="false" ht="17.25" hidden="false" customHeight="true" outlineLevel="0" collapsed="false">
      <c r="A36" s="120" t="n">
        <v>4</v>
      </c>
      <c r="B36" s="147"/>
      <c r="C36" s="25" t="s">
        <v>223</v>
      </c>
      <c r="D36" s="122"/>
      <c r="E36" s="122"/>
      <c r="F36" s="122"/>
      <c r="G36" s="122"/>
      <c r="H36" s="122"/>
      <c r="I36" s="122"/>
      <c r="J36" s="123" t="n">
        <f aca="false">(H37+H38+H39)/$L$17</f>
        <v>0.387726005575468</v>
      </c>
      <c r="K36" s="124"/>
      <c r="L36" s="129"/>
      <c r="M36" s="132"/>
      <c r="N36" s="47" t="n">
        <v>318.20645</v>
      </c>
      <c r="O36" s="46" t="n">
        <v>2.27</v>
      </c>
      <c r="P36" s="146" t="n">
        <v>-1.21</v>
      </c>
      <c r="Q36" s="146" t="n">
        <v>-1.21</v>
      </c>
      <c r="R36" s="146" t="n">
        <v>-1.21</v>
      </c>
      <c r="U36" s="139"/>
      <c r="V36" s="139"/>
      <c r="W36" s="139"/>
      <c r="X36" s="139"/>
      <c r="Y36" s="140"/>
      <c r="Z36" s="140"/>
      <c r="AA36" s="141"/>
    </row>
    <row r="37" customFormat="false" ht="17.25" hidden="false" customHeight="true" outlineLevel="0" collapsed="false">
      <c r="A37" s="120"/>
      <c r="B37" s="121" t="s">
        <v>224</v>
      </c>
      <c r="C37" s="30" t="s">
        <v>41</v>
      </c>
      <c r="D37" s="127" t="n">
        <v>68.99</v>
      </c>
      <c r="E37" s="127" t="n">
        <v>0</v>
      </c>
      <c r="F37" s="127" t="n">
        <v>1.21</v>
      </c>
      <c r="G37" s="127" t="n">
        <v>0.01</v>
      </c>
      <c r="H37" s="127" t="n">
        <f aca="false">SUM(D37:G37)</f>
        <v>70.21</v>
      </c>
      <c r="I37" s="128" t="n">
        <v>5.64</v>
      </c>
      <c r="J37" s="123"/>
      <c r="K37" s="148"/>
      <c r="L37" s="125"/>
      <c r="M37" s="132"/>
      <c r="N37" s="132"/>
      <c r="O37" s="46" t="n">
        <v>241.19</v>
      </c>
      <c r="P37" s="146" t="n">
        <v>0</v>
      </c>
      <c r="Q37" s="146" t="n">
        <v>0</v>
      </c>
      <c r="R37" s="146" t="n">
        <v>0</v>
      </c>
      <c r="U37" s="149"/>
      <c r="V37" s="149"/>
      <c r="W37" s="149"/>
      <c r="X37" s="149"/>
      <c r="Y37" s="140"/>
      <c r="Z37" s="140"/>
      <c r="AA37" s="141"/>
    </row>
    <row r="38" customFormat="false" ht="17.25" hidden="false" customHeight="true" outlineLevel="0" collapsed="false">
      <c r="A38" s="120"/>
      <c r="B38" s="121"/>
      <c r="C38" s="38" t="s">
        <v>42</v>
      </c>
      <c r="D38" s="137" t="n">
        <v>-27.65</v>
      </c>
      <c r="E38" s="137" t="n">
        <v>0</v>
      </c>
      <c r="F38" s="137" t="n">
        <f aca="false">-1.21</f>
        <v>-1.21</v>
      </c>
      <c r="G38" s="137" t="n">
        <v>0</v>
      </c>
      <c r="H38" s="137" t="n">
        <f aca="false">-28.86</f>
        <v>-28.86</v>
      </c>
      <c r="I38" s="137" t="n">
        <f aca="false">-3.49</f>
        <v>-3.49</v>
      </c>
      <c r="J38" s="123"/>
      <c r="K38" s="148"/>
      <c r="L38" s="125"/>
      <c r="M38" s="132"/>
      <c r="N38" s="132"/>
      <c r="O38" s="46" t="n">
        <v>0.01</v>
      </c>
      <c r="P38" s="146" t="n">
        <v>-3.49</v>
      </c>
      <c r="Q38" s="146" t="n">
        <v>-3.49</v>
      </c>
      <c r="R38" s="146" t="n">
        <v>-3.49</v>
      </c>
      <c r="U38" s="141"/>
      <c r="V38" s="150"/>
      <c r="W38" s="150"/>
      <c r="X38" s="150"/>
      <c r="Y38" s="140"/>
      <c r="Z38" s="140"/>
      <c r="AA38" s="141"/>
    </row>
    <row r="39" customFormat="false" ht="13.5" hidden="false" customHeight="true" outlineLevel="0" collapsed="false">
      <c r="A39" s="120"/>
      <c r="B39" s="121"/>
      <c r="C39" s="39" t="s">
        <v>43</v>
      </c>
      <c r="D39" s="127" t="n">
        <v>201.97</v>
      </c>
      <c r="E39" s="127" t="n">
        <v>2.27</v>
      </c>
      <c r="F39" s="127" t="n">
        <v>241.19</v>
      </c>
      <c r="G39" s="127" t="n">
        <v>0.01</v>
      </c>
      <c r="H39" s="127" t="n">
        <v>445.44</v>
      </c>
      <c r="I39" s="127" t="n">
        <v>9.06</v>
      </c>
      <c r="J39" s="123"/>
      <c r="K39" s="148"/>
      <c r="L39" s="125"/>
      <c r="M39" s="144"/>
      <c r="N39" s="144"/>
      <c r="O39" s="46" t="n">
        <v>9.06159</v>
      </c>
      <c r="P39" s="126"/>
      <c r="Q39" s="126"/>
      <c r="R39" s="126"/>
    </row>
    <row r="40" customFormat="false" ht="13.5" hidden="false" customHeight="true" outlineLevel="0" collapsed="false">
      <c r="A40" s="120" t="n">
        <v>5</v>
      </c>
      <c r="B40" s="147"/>
      <c r="C40" s="25" t="s">
        <v>225</v>
      </c>
      <c r="D40" s="122"/>
      <c r="E40" s="122"/>
      <c r="F40" s="122"/>
      <c r="G40" s="122"/>
      <c r="H40" s="122"/>
      <c r="I40" s="122"/>
      <c r="J40" s="123" t="n">
        <f aca="false">(H41+H42+H43)/$L$17</f>
        <v>0.0528165830346476</v>
      </c>
      <c r="K40" s="124"/>
      <c r="L40" s="125"/>
      <c r="O40" s="46"/>
      <c r="P40" s="126"/>
      <c r="Q40" s="126"/>
      <c r="R40" s="126"/>
    </row>
    <row r="41" customFormat="false" ht="13.5" hidden="false" customHeight="true" outlineLevel="0" collapsed="false">
      <c r="A41" s="120"/>
      <c r="B41" s="121" t="s">
        <v>226</v>
      </c>
      <c r="C41" s="30" t="s">
        <v>41</v>
      </c>
      <c r="D41" s="127" t="n">
        <v>0</v>
      </c>
      <c r="E41" s="127" t="n">
        <v>23.25</v>
      </c>
      <c r="F41" s="127" t="n">
        <v>16.4</v>
      </c>
      <c r="G41" s="127" t="n">
        <v>2.13</v>
      </c>
      <c r="H41" s="127" t="n">
        <f aca="false">SUM(D41:G41)</f>
        <v>41.78</v>
      </c>
      <c r="I41" s="128" t="n">
        <v>3.19</v>
      </c>
      <c r="J41" s="123"/>
      <c r="K41" s="148"/>
      <c r="L41" s="125"/>
      <c r="O41" s="46" t="n">
        <v>63.48</v>
      </c>
      <c r="P41" s="126"/>
      <c r="Q41" s="126"/>
      <c r="R41" s="126"/>
    </row>
    <row r="42" customFormat="false" ht="13.5" hidden="false" customHeight="true" outlineLevel="0" collapsed="false">
      <c r="A42" s="120"/>
      <c r="B42" s="121"/>
      <c r="C42" s="38" t="s">
        <v>42</v>
      </c>
      <c r="D42" s="130" t="n">
        <v>0</v>
      </c>
      <c r="E42" s="130" t="n">
        <f aca="false">(22548.12/1000)*-1</f>
        <v>-22.54812</v>
      </c>
      <c r="F42" s="130" t="n">
        <f aca="false">(16400.66/1000)*-1</f>
        <v>-16.40066</v>
      </c>
      <c r="G42" s="130" t="n">
        <v>0</v>
      </c>
      <c r="H42" s="137" t="n">
        <f aca="false">SUM(D42:G42)</f>
        <v>-38.94878</v>
      </c>
      <c r="I42" s="130" t="n">
        <f aca="false">(2219.98/1000)*-1</f>
        <v>-2.21998</v>
      </c>
      <c r="J42" s="123"/>
      <c r="K42" s="148"/>
      <c r="L42" s="125"/>
      <c r="O42" s="46" t="n">
        <v>41.22</v>
      </c>
      <c r="P42" s="46"/>
      <c r="Q42" s="151"/>
    </row>
    <row r="43" customFormat="false" ht="13.5" hidden="false" customHeight="true" outlineLevel="0" collapsed="false">
      <c r="A43" s="120"/>
      <c r="B43" s="121"/>
      <c r="C43" s="39" t="s">
        <v>43</v>
      </c>
      <c r="D43" s="127" t="n">
        <v>41.22</v>
      </c>
      <c r="E43" s="127" t="n">
        <v>22.26</v>
      </c>
      <c r="F43" s="127" t="n">
        <v>0</v>
      </c>
      <c r="G43" s="127" t="n">
        <v>0</v>
      </c>
      <c r="H43" s="127" t="n">
        <f aca="false">SUM(D43:G43)</f>
        <v>63.48</v>
      </c>
      <c r="I43" s="127" t="n">
        <v>5.72749</v>
      </c>
      <c r="J43" s="123"/>
      <c r="K43" s="148"/>
      <c r="L43" s="125"/>
      <c r="O43" s="46" t="n">
        <v>22.26</v>
      </c>
      <c r="P43" s="117"/>
      <c r="Q43" s="117"/>
    </row>
    <row r="44" customFormat="false" ht="17.25" hidden="false" customHeight="true" outlineLevel="0" collapsed="false">
      <c r="A44" s="120" t="n">
        <v>6</v>
      </c>
      <c r="B44" s="147"/>
      <c r="C44" s="25" t="s">
        <v>227</v>
      </c>
      <c r="D44" s="122"/>
      <c r="E44" s="122"/>
      <c r="F44" s="122"/>
      <c r="G44" s="122"/>
      <c r="H44" s="122"/>
      <c r="I44" s="122"/>
      <c r="J44" s="123" t="n">
        <f aca="false">(H45+H46+H47)/$L$17</f>
        <v>0.519275189167662</v>
      </c>
      <c r="K44" s="124"/>
      <c r="L44" s="125"/>
      <c r="N44" s="145" t="n">
        <f aca="false">SUM(N45:N48)</f>
        <v>-666.56</v>
      </c>
      <c r="O44" s="152"/>
      <c r="P44" s="152" t="n">
        <f aca="false">SUM(P45:P48)</f>
        <v>-4812.03</v>
      </c>
      <c r="Q44" s="126"/>
    </row>
    <row r="45" customFormat="false" ht="17.25" hidden="false" customHeight="true" outlineLevel="0" collapsed="false">
      <c r="A45" s="120"/>
      <c r="B45" s="121" t="s">
        <v>228</v>
      </c>
      <c r="C45" s="30" t="s">
        <v>41</v>
      </c>
      <c r="D45" s="127" t="n">
        <v>0.86</v>
      </c>
      <c r="E45" s="127" t="n">
        <v>4.62</v>
      </c>
      <c r="F45" s="127" t="n">
        <v>1200.41</v>
      </c>
      <c r="G45" s="127"/>
      <c r="H45" s="127" t="n">
        <f aca="false">SUM(D45:G45)</f>
        <v>1205.89</v>
      </c>
      <c r="I45" s="128" t="n">
        <v>1.77</v>
      </c>
      <c r="J45" s="123"/>
      <c r="K45" s="148"/>
      <c r="N45" s="146" t="n">
        <v>-332.86</v>
      </c>
      <c r="O45" s="17"/>
      <c r="P45" s="153" t="n">
        <v>-2.88</v>
      </c>
      <c r="Q45" s="126"/>
    </row>
    <row r="46" customFormat="false" ht="17.25" hidden="false" customHeight="true" outlineLevel="0" collapsed="false">
      <c r="A46" s="120"/>
      <c r="B46" s="121"/>
      <c r="C46" s="38" t="s">
        <v>42</v>
      </c>
      <c r="D46" s="137" t="n">
        <f aca="false">-0.19</f>
        <v>-0.19</v>
      </c>
      <c r="E46" s="137" t="n">
        <f aca="false">-0.79</f>
        <v>-0.79</v>
      </c>
      <c r="F46" s="137" t="n">
        <f aca="false">-1174.38</f>
        <v>-1174.38</v>
      </c>
      <c r="G46" s="137" t="n">
        <v>0</v>
      </c>
      <c r="H46" s="137" t="n">
        <f aca="false">SUM(D46:G46)</f>
        <v>-1175.36</v>
      </c>
      <c r="I46" s="154" t="n">
        <f aca="false">(325.21/1000)*-1</f>
        <v>-0.32521</v>
      </c>
      <c r="J46" s="123"/>
      <c r="K46" s="125"/>
      <c r="L46" s="125"/>
      <c r="N46" s="146" t="n">
        <v>-13.34</v>
      </c>
      <c r="O46" s="155"/>
      <c r="P46" s="153" t="n">
        <v>-11.33</v>
      </c>
      <c r="Q46" s="126"/>
    </row>
    <row r="47" customFormat="false" ht="17.25" hidden="false" customHeight="true" outlineLevel="0" collapsed="false">
      <c r="A47" s="120"/>
      <c r="B47" s="114"/>
      <c r="C47" s="39" t="s">
        <v>43</v>
      </c>
      <c r="D47" s="127" t="n">
        <v>0</v>
      </c>
      <c r="E47" s="127" t="n">
        <v>4.51</v>
      </c>
      <c r="F47" s="127" t="n">
        <v>616.91</v>
      </c>
      <c r="G47" s="127" t="n">
        <v>0</v>
      </c>
      <c r="H47" s="127" t="n">
        <f aca="false">SUM(D47:G47)</f>
        <v>621.42</v>
      </c>
      <c r="I47" s="128" t="n">
        <v>1.5827</v>
      </c>
      <c r="J47" s="123"/>
      <c r="K47" s="125"/>
      <c r="L47" s="125"/>
      <c r="N47" s="146" t="n">
        <v>-291.88</v>
      </c>
      <c r="O47" s="155"/>
      <c r="P47" s="153" t="n">
        <v>-4797.82</v>
      </c>
      <c r="Q47" s="126"/>
    </row>
    <row r="48" customFormat="false" ht="24.75" hidden="false" customHeight="true" outlineLevel="0" collapsed="false">
      <c r="A48" s="120" t="n">
        <v>7</v>
      </c>
      <c r="B48" s="147"/>
      <c r="C48" s="25" t="s">
        <v>229</v>
      </c>
      <c r="D48" s="128"/>
      <c r="E48" s="128"/>
      <c r="F48" s="128"/>
      <c r="G48" s="128"/>
      <c r="H48" s="128"/>
      <c r="I48" s="128"/>
      <c r="J48" s="123" t="n">
        <f aca="false">(H49+H50+H51)/$L$17</f>
        <v>0.146080931899642</v>
      </c>
      <c r="K48" s="131"/>
      <c r="L48" s="125"/>
      <c r="N48" s="146" t="n">
        <v>-28.48</v>
      </c>
      <c r="O48" s="155"/>
      <c r="P48" s="153" t="n">
        <v>0</v>
      </c>
      <c r="Q48" s="126"/>
    </row>
    <row r="49" customFormat="false" ht="17.25" hidden="false" customHeight="true" outlineLevel="0" collapsed="false">
      <c r="A49" s="120"/>
      <c r="B49" s="121" t="s">
        <v>230</v>
      </c>
      <c r="C49" s="30" t="s">
        <v>41</v>
      </c>
      <c r="D49" s="127" t="n">
        <v>0.77</v>
      </c>
      <c r="E49" s="127" t="n">
        <v>2.02</v>
      </c>
      <c r="F49" s="127" t="n">
        <v>4.67</v>
      </c>
      <c r="G49" s="127" t="n">
        <v>0.09</v>
      </c>
      <c r="H49" s="127" t="n">
        <f aca="false">SUM(D49:G49)</f>
        <v>7.55</v>
      </c>
      <c r="I49" s="128" t="n">
        <v>0.51</v>
      </c>
      <c r="J49" s="123"/>
      <c r="K49" s="125"/>
      <c r="L49" s="125"/>
      <c r="N49" s="146" t="n">
        <v>-34.02</v>
      </c>
      <c r="O49" s="156"/>
      <c r="P49" s="153" t="n">
        <v>-6.03</v>
      </c>
      <c r="Q49" s="126"/>
    </row>
    <row r="50" customFormat="false" ht="15" hidden="false" customHeight="true" outlineLevel="0" collapsed="false">
      <c r="A50" s="120"/>
      <c r="B50" s="114"/>
      <c r="C50" s="38" t="s">
        <v>42</v>
      </c>
      <c r="D50" s="130" t="n">
        <f aca="false">(768.4
/1000)*-1</f>
        <v>-0.7684</v>
      </c>
      <c r="E50" s="130" t="n">
        <f aca="false">(1768.48
/1000)*-1</f>
        <v>-1.76848</v>
      </c>
      <c r="F50" s="130" t="n">
        <f aca="false">(4667.61
/1000)*-1</f>
        <v>-4.66761</v>
      </c>
      <c r="G50" s="130" t="n">
        <f aca="false">(90.9
/1000)*-1</f>
        <v>-0.0909</v>
      </c>
      <c r="H50" s="137" t="n">
        <f aca="false">SUM(D50:G50)</f>
        <v>-7.29539</v>
      </c>
      <c r="I50" s="130" t="n">
        <f aca="false">(440.64
/1000)*-1</f>
        <v>-0.44064</v>
      </c>
      <c r="J50" s="123"/>
      <c r="K50" s="125"/>
      <c r="L50" s="125"/>
      <c r="N50" s="157" t="n">
        <v>-24.72</v>
      </c>
      <c r="O50" s="158"/>
      <c r="P50" s="159" t="n">
        <v>-24.72</v>
      </c>
      <c r="Q50" s="126"/>
    </row>
    <row r="51" customFormat="false" ht="13.5" hidden="false" customHeight="true" outlineLevel="0" collapsed="false">
      <c r="A51" s="120"/>
      <c r="B51" s="114"/>
      <c r="C51" s="39" t="s">
        <v>43</v>
      </c>
      <c r="D51" s="127" t="n">
        <v>29.29</v>
      </c>
      <c r="E51" s="127" t="n">
        <v>20.52</v>
      </c>
      <c r="F51" s="127" t="n">
        <v>133.34</v>
      </c>
      <c r="G51" s="127" t="n">
        <v>0</v>
      </c>
      <c r="H51" s="127" t="n">
        <f aca="false">SUM(D51:G51)</f>
        <v>183.15</v>
      </c>
      <c r="I51" s="127" t="n">
        <v>5.75</v>
      </c>
      <c r="J51" s="123"/>
      <c r="K51" s="125"/>
      <c r="L51" s="125"/>
      <c r="O51" s="160" t="n">
        <v>0</v>
      </c>
      <c r="P51" s="126"/>
      <c r="Q51" s="126"/>
    </row>
    <row r="52" customFormat="false" ht="24.75" hidden="false" customHeight="true" outlineLevel="0" collapsed="false">
      <c r="A52" s="120" t="n">
        <v>8</v>
      </c>
      <c r="B52" s="147"/>
      <c r="C52" s="25" t="s">
        <v>231</v>
      </c>
      <c r="D52" s="128"/>
      <c r="E52" s="128"/>
      <c r="F52" s="128"/>
      <c r="G52" s="128"/>
      <c r="H52" s="128"/>
      <c r="I52" s="128"/>
      <c r="J52" s="123" t="n">
        <f aca="false">(H53+H54+H55)/$L$17</f>
        <v>0.222644364794902</v>
      </c>
      <c r="K52" s="124"/>
      <c r="L52" s="125"/>
      <c r="M52" s="161" t="n">
        <v>7.3</v>
      </c>
      <c r="N52" s="42" t="n">
        <v>263.93</v>
      </c>
      <c r="O52" s="42" t="n">
        <v>4761.06</v>
      </c>
      <c r="P52" s="162" t="s">
        <v>6</v>
      </c>
      <c r="Q52" s="126"/>
    </row>
    <row r="53" customFormat="false" ht="13.5" hidden="false" customHeight="true" outlineLevel="0" collapsed="false">
      <c r="A53" s="120"/>
      <c r="B53" s="121" t="s">
        <v>232</v>
      </c>
      <c r="C53" s="30" t="s">
        <v>41</v>
      </c>
      <c r="D53" s="127" t="n">
        <v>5.81</v>
      </c>
      <c r="E53" s="127" t="n">
        <v>58.91</v>
      </c>
      <c r="F53" s="127" t="n">
        <v>229.86</v>
      </c>
      <c r="G53" s="127" t="n">
        <v>2.13</v>
      </c>
      <c r="H53" s="127" t="n">
        <f aca="false">SUM(D53:G53)</f>
        <v>296.71</v>
      </c>
      <c r="I53" s="127" t="n">
        <v>9.37</v>
      </c>
      <c r="J53" s="123"/>
      <c r="K53" s="129"/>
      <c r="L53" s="125"/>
      <c r="M53" s="163" t="n">
        <v>0.77</v>
      </c>
      <c r="N53" s="46" t="n">
        <v>165.93</v>
      </c>
      <c r="O53" s="46" t="n">
        <v>1091.05</v>
      </c>
      <c r="P53" s="164" t="s">
        <v>6</v>
      </c>
      <c r="Q53" s="126"/>
    </row>
    <row r="54" customFormat="false" ht="13.5" hidden="false" customHeight="true" outlineLevel="0" collapsed="false">
      <c r="A54" s="120"/>
      <c r="B54" s="114"/>
      <c r="C54" s="38" t="s">
        <v>42</v>
      </c>
      <c r="D54" s="130" t="n">
        <f aca="false">5.81*-1</f>
        <v>-5.81</v>
      </c>
      <c r="E54" s="130" t="n">
        <f aca="false">48.54*-1</f>
        <v>-48.54</v>
      </c>
      <c r="F54" s="130" t="n">
        <f aca="false">226.75*-1</f>
        <v>-226.75</v>
      </c>
      <c r="G54" s="130" t="n">
        <v>0</v>
      </c>
      <c r="H54" s="137" t="n">
        <v>-281.11</v>
      </c>
      <c r="I54" s="130" t="n">
        <f aca="false">4.97*-1</f>
        <v>-4.97</v>
      </c>
      <c r="J54" s="123"/>
      <c r="K54" s="125"/>
      <c r="L54" s="129"/>
      <c r="M54" s="163" t="n">
        <v>1.77</v>
      </c>
      <c r="N54" s="46" t="n">
        <v>49.19</v>
      </c>
      <c r="O54" s="46" t="n">
        <v>2000.96</v>
      </c>
      <c r="P54" s="164" t="s">
        <v>6</v>
      </c>
      <c r="Q54" s="126"/>
    </row>
    <row r="55" customFormat="false" ht="13.5" hidden="false" customHeight="true" outlineLevel="0" collapsed="false">
      <c r="A55" s="120"/>
      <c r="B55" s="114"/>
      <c r="C55" s="39" t="s">
        <v>43</v>
      </c>
      <c r="D55" s="165" t="n">
        <v>165.93</v>
      </c>
      <c r="E55" s="165" t="n">
        <v>49.19</v>
      </c>
      <c r="F55" s="165" t="n">
        <v>48.81</v>
      </c>
      <c r="G55" s="127" t="n">
        <v>0</v>
      </c>
      <c r="H55" s="127" t="n">
        <f aca="false">SUM(D55:G55)</f>
        <v>263.93</v>
      </c>
      <c r="I55" s="165" t="n">
        <v>13.88</v>
      </c>
      <c r="J55" s="123"/>
      <c r="K55" s="125"/>
      <c r="L55" s="125"/>
      <c r="M55" s="163" t="n">
        <v>4.67</v>
      </c>
      <c r="N55" s="46" t="n">
        <v>48.81</v>
      </c>
      <c r="O55" s="46" t="n">
        <v>1669.05</v>
      </c>
      <c r="P55" s="164" t="s">
        <v>6</v>
      </c>
      <c r="Q55" s="126"/>
    </row>
    <row r="56" customFormat="false" ht="13.5" hidden="false" customHeight="true" outlineLevel="0" collapsed="false">
      <c r="A56" s="120" t="n">
        <v>9</v>
      </c>
      <c r="B56" s="114"/>
      <c r="C56" s="25" t="s">
        <v>233</v>
      </c>
      <c r="D56" s="128"/>
      <c r="E56" s="128"/>
      <c r="F56" s="128"/>
      <c r="G56" s="128"/>
      <c r="H56" s="128"/>
      <c r="I56" s="128"/>
      <c r="J56" s="123" t="n">
        <f aca="false">(H57+H58+H59)/$L$17</f>
        <v>0.0835608841099164</v>
      </c>
      <c r="K56" s="124"/>
      <c r="L56" s="125"/>
      <c r="M56" s="163" t="n">
        <v>0.09</v>
      </c>
      <c r="N56" s="46" t="n">
        <v>0</v>
      </c>
      <c r="O56" s="46" t="n">
        <v>0</v>
      </c>
      <c r="P56" s="164" t="s">
        <v>6</v>
      </c>
      <c r="Q56" s="126"/>
    </row>
    <row r="57" customFormat="false" ht="13.5" hidden="false" customHeight="true" outlineLevel="0" collapsed="false">
      <c r="A57" s="120"/>
      <c r="B57" s="121" t="s">
        <v>234</v>
      </c>
      <c r="C57" s="30" t="s">
        <v>41</v>
      </c>
      <c r="D57" s="127" t="n">
        <v>0.74</v>
      </c>
      <c r="E57" s="127" t="n">
        <v>25.89</v>
      </c>
      <c r="F57" s="127" t="n">
        <v>131.67</v>
      </c>
      <c r="G57" s="127" t="n">
        <v>2.13</v>
      </c>
      <c r="H57" s="127" t="n">
        <f aca="false">SUM(D57:G57)</f>
        <v>160.43</v>
      </c>
      <c r="I57" s="127" t="n">
        <v>3.06</v>
      </c>
      <c r="J57" s="123"/>
      <c r="K57" s="125"/>
      <c r="L57" s="125"/>
      <c r="M57" s="163" t="n">
        <v>0.44</v>
      </c>
      <c r="N57" s="46" t="n">
        <v>13.87538</v>
      </c>
      <c r="O57" s="46" t="n">
        <v>763.00716</v>
      </c>
      <c r="P57" s="164" t="s">
        <v>6</v>
      </c>
      <c r="Q57" s="126"/>
    </row>
    <row r="58" customFormat="false" ht="13.5" hidden="false" customHeight="true" outlineLevel="0" collapsed="false">
      <c r="A58" s="120"/>
      <c r="B58" s="114"/>
      <c r="C58" s="38" t="s">
        <v>42</v>
      </c>
      <c r="D58" s="137" t="n">
        <f aca="false">(743.11
/1000)*-1</f>
        <v>-0.74311</v>
      </c>
      <c r="E58" s="137" t="n">
        <f aca="false">(24193.89
/1000)*-1</f>
        <v>-24.19389</v>
      </c>
      <c r="F58" s="137" t="n">
        <f aca="false">(131672.52
/1000)*-1</f>
        <v>-131.67252</v>
      </c>
      <c r="G58" s="137" t="n">
        <f aca="false">(2129.79
/1000)*-1</f>
        <v>-2.12979</v>
      </c>
      <c r="H58" s="137" t="n">
        <f aca="false">SUM(D58:G58)</f>
        <v>-158.73931</v>
      </c>
      <c r="I58" s="137" t="n">
        <f aca="false">(2494.39
/1000)*-1</f>
        <v>-2.49439</v>
      </c>
      <c r="J58" s="123"/>
      <c r="K58" s="125"/>
      <c r="L58" s="125"/>
      <c r="N58" s="125"/>
      <c r="O58" s="125"/>
    </row>
    <row r="59" customFormat="false" ht="13.5" hidden="false" customHeight="true" outlineLevel="0" collapsed="false">
      <c r="A59" s="120"/>
      <c r="B59" s="114"/>
      <c r="C59" s="39" t="s">
        <v>43</v>
      </c>
      <c r="D59" s="127" t="n">
        <v>40.15</v>
      </c>
      <c r="E59" s="127" t="n">
        <v>8.77</v>
      </c>
      <c r="F59" s="127" t="n">
        <v>54.3</v>
      </c>
      <c r="G59" s="127" t="n">
        <v>0</v>
      </c>
      <c r="H59" s="127" t="n">
        <f aca="false">SUM(D59:G59)</f>
        <v>103.22</v>
      </c>
      <c r="I59" s="127" t="n">
        <v>2.37</v>
      </c>
      <c r="J59" s="123"/>
      <c r="K59" s="125"/>
      <c r="L59" s="125"/>
      <c r="N59" s="125"/>
      <c r="O59" s="42"/>
      <c r="P59" s="117"/>
    </row>
    <row r="60" customFormat="false" ht="13.5" hidden="false" customHeight="true" outlineLevel="0" collapsed="false">
      <c r="A60" s="120" t="n">
        <v>10</v>
      </c>
      <c r="B60" s="121" t="s">
        <v>235</v>
      </c>
      <c r="C60" s="25" t="s">
        <v>236</v>
      </c>
      <c r="D60" s="128"/>
      <c r="E60" s="128"/>
      <c r="F60" s="128"/>
      <c r="G60" s="128"/>
      <c r="H60" s="128"/>
      <c r="I60" s="128"/>
      <c r="J60" s="123" t="n">
        <f aca="false">(H61+H62+H63)/$L$17</f>
        <v>0.15375690959777</v>
      </c>
      <c r="K60" s="131"/>
      <c r="L60" s="125"/>
      <c r="N60" s="166" t="n">
        <v>192.29</v>
      </c>
      <c r="O60" s="166" t="n">
        <v>3097.48</v>
      </c>
      <c r="P60" s="126"/>
    </row>
    <row r="61" customFormat="false" ht="13.5" hidden="false" customHeight="true" outlineLevel="0" collapsed="false">
      <c r="A61" s="120"/>
      <c r="B61" s="114"/>
      <c r="C61" s="30" t="s">
        <v>41</v>
      </c>
      <c r="D61" s="127" t="n">
        <v>15.11</v>
      </c>
      <c r="E61" s="127" t="n">
        <v>13.58</v>
      </c>
      <c r="F61" s="127" t="n">
        <v>122.53</v>
      </c>
      <c r="G61" s="127" t="n">
        <v>2.13</v>
      </c>
      <c r="H61" s="127" t="n">
        <f aca="false">SUM(D61:G61)</f>
        <v>153.35</v>
      </c>
      <c r="I61" s="127" t="n">
        <v>5.41</v>
      </c>
      <c r="J61" s="123"/>
      <c r="K61" s="129"/>
      <c r="L61" s="129"/>
      <c r="N61" s="167" t="n">
        <v>97.28</v>
      </c>
      <c r="O61" s="167" t="n">
        <v>1123.71</v>
      </c>
      <c r="P61" s="126"/>
    </row>
    <row r="62" customFormat="false" ht="13.5" hidden="false" customHeight="true" outlineLevel="0" collapsed="false">
      <c r="A62" s="120"/>
      <c r="B62" s="114"/>
      <c r="C62" s="38" t="s">
        <v>42</v>
      </c>
      <c r="D62" s="137" t="n">
        <f aca="false">(15112.93
/1000)*-1</f>
        <v>-15.11293</v>
      </c>
      <c r="E62" s="137" t="n">
        <f aca="false">(12826.51
/1000)*-1</f>
        <v>-12.82651</v>
      </c>
      <c r="F62" s="137" t="n">
        <f aca="false">(122528.97
/1000)*-1</f>
        <v>-122.52897</v>
      </c>
      <c r="G62" s="137" t="n">
        <f aca="false">(2129.79
/1000)*-1</f>
        <v>-2.12979</v>
      </c>
      <c r="H62" s="137" t="n">
        <f aca="false">SUM(D62:G62)</f>
        <v>-152.5982</v>
      </c>
      <c r="I62" s="137" t="n">
        <f aca="false">(5160.37
/1000)*-1</f>
        <v>-5.16037</v>
      </c>
      <c r="J62" s="123"/>
      <c r="K62" s="125"/>
      <c r="L62" s="125"/>
      <c r="N62" s="167" t="n">
        <v>31.61</v>
      </c>
      <c r="O62" s="167" t="n">
        <v>1198.98</v>
      </c>
      <c r="P62" s="126"/>
    </row>
    <row r="63" customFormat="false" ht="13.5" hidden="false" customHeight="true" outlineLevel="0" collapsed="false">
      <c r="A63" s="120"/>
      <c r="B63" s="114"/>
      <c r="C63" s="39" t="s">
        <v>43</v>
      </c>
      <c r="D63" s="127" t="n">
        <v>97.28</v>
      </c>
      <c r="E63" s="127" t="n">
        <v>31.61</v>
      </c>
      <c r="F63" s="127" t="n">
        <v>63.4</v>
      </c>
      <c r="G63" s="127" t="n">
        <v>0</v>
      </c>
      <c r="H63" s="127" t="n">
        <f aca="false">SUM(D63:G63)</f>
        <v>192.29</v>
      </c>
      <c r="I63" s="127" t="n">
        <v>8.29</v>
      </c>
      <c r="J63" s="123"/>
      <c r="K63" s="125"/>
      <c r="L63" s="125"/>
      <c r="N63" s="167" t="n">
        <v>63.4</v>
      </c>
      <c r="O63" s="167" t="n">
        <v>774.79</v>
      </c>
      <c r="P63" s="126"/>
    </row>
    <row r="64" customFormat="false" ht="24.75" hidden="false" customHeight="true" outlineLevel="0" collapsed="false">
      <c r="A64" s="120" t="n">
        <v>11</v>
      </c>
      <c r="B64" s="114"/>
      <c r="C64" s="25" t="s">
        <v>237</v>
      </c>
      <c r="D64" s="128"/>
      <c r="E64" s="128"/>
      <c r="F64" s="128"/>
      <c r="G64" s="128"/>
      <c r="H64" s="128"/>
      <c r="I64" s="128"/>
      <c r="J64" s="123" t="n">
        <f aca="false">(H65+H66+H67)/$L$17</f>
        <v>0</v>
      </c>
      <c r="K64" s="129"/>
      <c r="L64" s="125"/>
      <c r="N64" s="167" t="n">
        <v>0</v>
      </c>
      <c r="O64" s="167" t="n">
        <v>0</v>
      </c>
      <c r="P64" s="126"/>
    </row>
    <row r="65" customFormat="false" ht="13.5" hidden="false" customHeight="true" outlineLevel="0" collapsed="false">
      <c r="A65" s="120"/>
      <c r="B65" s="121" t="s">
        <v>238</v>
      </c>
      <c r="C65" s="30" t="s">
        <v>41</v>
      </c>
      <c r="D65" s="127" t="n">
        <v>1.51</v>
      </c>
      <c r="E65" s="127" t="n">
        <v>7.69</v>
      </c>
      <c r="F65" s="127" t="n">
        <v>7.83</v>
      </c>
      <c r="G65" s="127" t="n">
        <v>2.13</v>
      </c>
      <c r="H65" s="127" t="n">
        <f aca="false">SUM(D65:G65)</f>
        <v>19.16</v>
      </c>
      <c r="I65" s="127" t="n">
        <v>2.26</v>
      </c>
      <c r="J65" s="123"/>
      <c r="K65" s="125"/>
      <c r="L65" s="125"/>
      <c r="N65" s="167" t="n">
        <v>8.2873</v>
      </c>
      <c r="O65" s="167" t="n">
        <v>443.95961</v>
      </c>
    </row>
    <row r="66" customFormat="false" ht="13.5" hidden="false" customHeight="true" outlineLevel="0" collapsed="false">
      <c r="A66" s="120"/>
      <c r="B66" s="114"/>
      <c r="C66" s="38" t="s">
        <v>42</v>
      </c>
      <c r="D66" s="130" t="n">
        <v>-1.51</v>
      </c>
      <c r="E66" s="130" t="n">
        <v>-7.69</v>
      </c>
      <c r="F66" s="130" t="n">
        <v>-7.83</v>
      </c>
      <c r="G66" s="130" t="n">
        <v>-2.13</v>
      </c>
      <c r="H66" s="137" t="n">
        <f aca="false">SUM(D66:G66)</f>
        <v>-19.16</v>
      </c>
      <c r="I66" s="130" t="n">
        <v>-2.26</v>
      </c>
      <c r="J66" s="123"/>
      <c r="K66" s="125"/>
      <c r="L66" s="125"/>
      <c r="P66" s="117"/>
      <c r="Q66" s="117"/>
    </row>
    <row r="67" customFormat="false" ht="13.5" hidden="false" customHeight="true" outlineLevel="0" collapsed="false">
      <c r="A67" s="120"/>
      <c r="B67" s="114"/>
      <c r="C67" s="39" t="s">
        <v>43</v>
      </c>
      <c r="D67" s="127" t="n">
        <v>0</v>
      </c>
      <c r="E67" s="127" t="n">
        <v>0</v>
      </c>
      <c r="F67" s="127" t="n">
        <v>0</v>
      </c>
      <c r="G67" s="127" t="n">
        <v>0</v>
      </c>
      <c r="H67" s="127" t="n">
        <f aca="false">SUM(D67:G67)</f>
        <v>0</v>
      </c>
      <c r="I67" s="127" t="n">
        <v>0</v>
      </c>
      <c r="J67" s="127"/>
      <c r="M67" s="102"/>
      <c r="N67" s="102"/>
      <c r="P67" s="126"/>
      <c r="Q67" s="126"/>
    </row>
    <row r="68" customFormat="false" ht="13.5" hidden="false" customHeight="true" outlineLevel="0" collapsed="false">
      <c r="A68" s="120" t="n">
        <v>12</v>
      </c>
      <c r="B68" s="121"/>
      <c r="C68" s="25" t="s">
        <v>239</v>
      </c>
      <c r="D68" s="128"/>
      <c r="E68" s="128"/>
      <c r="F68" s="128"/>
      <c r="G68" s="128"/>
      <c r="H68" s="128"/>
      <c r="I68" s="128"/>
      <c r="J68" s="123" t="n">
        <f aca="false">(H69+H70+H71)/$L$17</f>
        <v>0.0601088649940263</v>
      </c>
      <c r="K68" s="124"/>
      <c r="M68" s="106"/>
      <c r="N68" s="106"/>
      <c r="P68" s="126"/>
      <c r="Q68" s="126"/>
    </row>
    <row r="69" customFormat="false" ht="13.5" hidden="false" customHeight="true" outlineLevel="0" collapsed="false">
      <c r="A69" s="120"/>
      <c r="B69" s="121" t="s">
        <v>240</v>
      </c>
      <c r="C69" s="30" t="s">
        <v>41</v>
      </c>
      <c r="D69" s="127" t="n">
        <v>58.46</v>
      </c>
      <c r="E69" s="127" t="n">
        <v>5.31</v>
      </c>
      <c r="F69" s="127" t="n">
        <v>13.53</v>
      </c>
      <c r="G69" s="127" t="n">
        <v>0</v>
      </c>
      <c r="H69" s="127" t="n">
        <f aca="false">SUM(D69:G69)</f>
        <v>77.3</v>
      </c>
      <c r="I69" s="127" t="n">
        <v>0.76</v>
      </c>
      <c r="J69" s="123"/>
      <c r="K69" s="129"/>
      <c r="L69" s="129"/>
      <c r="M69" s="106"/>
      <c r="N69" s="42" t="n">
        <v>50.15</v>
      </c>
      <c r="O69" s="42" t="n">
        <v>286.7</v>
      </c>
      <c r="P69" s="126"/>
      <c r="Q69" s="126"/>
    </row>
    <row r="70" customFormat="false" ht="13.5" hidden="false" customHeight="true" outlineLevel="0" collapsed="false">
      <c r="A70" s="120"/>
      <c r="B70" s="114"/>
      <c r="C70" s="38" t="s">
        <v>42</v>
      </c>
      <c r="D70" s="130" t="n">
        <f aca="false">(34989.59/1000)*-1</f>
        <v>-34.98959</v>
      </c>
      <c r="E70" s="130" t="n">
        <f aca="false">(4613.87/1000)*-1</f>
        <v>-4.61387</v>
      </c>
      <c r="F70" s="130" t="n">
        <f aca="false">(12379.86/1000)*-1</f>
        <v>-12.37986</v>
      </c>
      <c r="G70" s="130" t="n">
        <v>0</v>
      </c>
      <c r="H70" s="137" t="n">
        <f aca="false">SUM(D70:G70)</f>
        <v>-51.98332</v>
      </c>
      <c r="I70" s="130" t="n">
        <f aca="false">(603.79/1000)*-1</f>
        <v>-0.60379</v>
      </c>
      <c r="J70" s="123"/>
      <c r="K70" s="125"/>
      <c r="L70" s="125"/>
      <c r="M70" s="106"/>
      <c r="N70" s="46" t="n">
        <v>47.46</v>
      </c>
      <c r="O70" s="46" t="n">
        <v>0</v>
      </c>
      <c r="P70" s="126"/>
      <c r="Q70" s="126"/>
      <c r="S70" s="117"/>
      <c r="T70" s="117"/>
    </row>
    <row r="71" customFormat="false" ht="13.5" hidden="false" customHeight="true" outlineLevel="0" collapsed="false">
      <c r="A71" s="120"/>
      <c r="B71" s="114"/>
      <c r="C71" s="39" t="s">
        <v>43</v>
      </c>
      <c r="D71" s="127" t="n">
        <v>47.46</v>
      </c>
      <c r="E71" s="127" t="n">
        <v>2.69</v>
      </c>
      <c r="F71" s="127" t="n">
        <v>0</v>
      </c>
      <c r="G71" s="127" t="n">
        <v>0</v>
      </c>
      <c r="H71" s="127" t="n">
        <f aca="false">SUM(D71:G71)</f>
        <v>50.15</v>
      </c>
      <c r="I71" s="127" t="n">
        <v>0.97</v>
      </c>
      <c r="J71" s="123"/>
      <c r="K71" s="168"/>
      <c r="L71" s="125"/>
      <c r="M71" s="106"/>
      <c r="N71" s="46" t="n">
        <v>2.69</v>
      </c>
      <c r="O71" s="46" t="n">
        <v>0.06</v>
      </c>
      <c r="P71" s="126"/>
      <c r="Q71" s="126"/>
      <c r="S71" s="126"/>
      <c r="T71" s="126"/>
    </row>
    <row r="72" customFormat="false" ht="13.5" hidden="false" customHeight="true" outlineLevel="0" collapsed="false">
      <c r="A72" s="120" t="n">
        <v>13</v>
      </c>
      <c r="B72" s="114"/>
      <c r="C72" s="25" t="s">
        <v>241</v>
      </c>
      <c r="D72" s="127"/>
      <c r="E72" s="127"/>
      <c r="F72" s="127"/>
      <c r="G72" s="127"/>
      <c r="H72" s="127"/>
      <c r="I72" s="128"/>
      <c r="J72" s="123" t="n">
        <f aca="false">(H73+H74+H75)/$L$17</f>
        <v>0.228355236957388</v>
      </c>
      <c r="K72" s="131"/>
      <c r="L72" s="125"/>
      <c r="M72" s="106"/>
      <c r="N72" s="46" t="n">
        <v>0</v>
      </c>
      <c r="O72" s="46" t="n">
        <v>286.64</v>
      </c>
      <c r="P72" s="46"/>
      <c r="S72" s="126"/>
      <c r="T72" s="126"/>
    </row>
    <row r="73" s="1" customFormat="true" ht="13.5" hidden="false" customHeight="true" outlineLevel="0" collapsed="false">
      <c r="A73" s="120"/>
      <c r="C73" s="30" t="s">
        <v>41</v>
      </c>
      <c r="D73" s="127" t="n">
        <v>0</v>
      </c>
      <c r="E73" s="127" t="n">
        <v>0</v>
      </c>
      <c r="F73" s="127" t="n">
        <v>0</v>
      </c>
      <c r="G73" s="127" t="n">
        <v>0</v>
      </c>
      <c r="H73" s="127" t="n">
        <f aca="false">SUM(D73:G73)</f>
        <v>0</v>
      </c>
      <c r="I73" s="127" t="n">
        <v>0</v>
      </c>
      <c r="J73" s="123"/>
      <c r="K73" s="129"/>
      <c r="L73" s="129"/>
      <c r="N73" s="46" t="n">
        <v>0</v>
      </c>
      <c r="O73" s="46" t="n">
        <v>0</v>
      </c>
      <c r="P73" s="46"/>
      <c r="S73" s="126"/>
      <c r="T73" s="126"/>
    </row>
    <row r="74" customFormat="false" ht="13.5" hidden="false" customHeight="true" outlineLevel="0" collapsed="false">
      <c r="A74" s="120"/>
      <c r="B74" s="114"/>
      <c r="C74" s="38" t="s">
        <v>42</v>
      </c>
      <c r="D74" s="137" t="n">
        <v>0</v>
      </c>
      <c r="E74" s="137" t="n">
        <v>0</v>
      </c>
      <c r="F74" s="137" t="n">
        <v>0</v>
      </c>
      <c r="G74" s="137" t="n">
        <v>0</v>
      </c>
      <c r="H74" s="137" t="n">
        <f aca="false">SUM(D74:G74)</f>
        <v>0</v>
      </c>
      <c r="I74" s="127" t="n">
        <v>0</v>
      </c>
      <c r="J74" s="123"/>
      <c r="K74" s="125"/>
      <c r="L74" s="125"/>
      <c r="N74" s="46" t="n">
        <v>0.96549</v>
      </c>
      <c r="O74" s="46" t="n">
        <v>0.02358</v>
      </c>
      <c r="P74" s="46"/>
      <c r="S74" s="126"/>
      <c r="T74" s="126"/>
    </row>
    <row r="75" customFormat="false" ht="13.5" hidden="false" customHeight="true" outlineLevel="0" collapsed="false">
      <c r="A75" s="120"/>
      <c r="B75" s="121" t="s">
        <v>242</v>
      </c>
      <c r="C75" s="39" t="s">
        <v>43</v>
      </c>
      <c r="D75" s="127" t="n">
        <v>0</v>
      </c>
      <c r="E75" s="127" t="n">
        <v>0.06</v>
      </c>
      <c r="F75" s="127" t="n">
        <v>286.64</v>
      </c>
      <c r="G75" s="127" t="n">
        <v>0</v>
      </c>
      <c r="H75" s="127" t="n">
        <f aca="false">SUM(D75:G75)</f>
        <v>286.7</v>
      </c>
      <c r="I75" s="128" t="n">
        <v>0.02</v>
      </c>
      <c r="J75" s="123"/>
      <c r="K75" s="125"/>
      <c r="L75" s="125"/>
      <c r="O75" s="46"/>
      <c r="P75" s="46"/>
      <c r="Q75" s="117"/>
      <c r="S75" s="126"/>
      <c r="T75" s="126"/>
    </row>
    <row r="76" customFormat="false" ht="13.5" hidden="false" customHeight="true" outlineLevel="0" collapsed="false">
      <c r="A76" s="120" t="n">
        <v>14</v>
      </c>
      <c r="B76" s="114"/>
      <c r="C76" s="25" t="s">
        <v>243</v>
      </c>
      <c r="D76" s="127"/>
      <c r="E76" s="127"/>
      <c r="F76" s="127"/>
      <c r="G76" s="127"/>
      <c r="H76" s="127"/>
      <c r="I76" s="128"/>
      <c r="J76" s="123" t="n">
        <f aca="false">(H77+H78+H79)/$L$17</f>
        <v>0.214161688570291</v>
      </c>
      <c r="K76" s="125"/>
      <c r="L76" s="125"/>
      <c r="O76" s="46"/>
      <c r="P76" s="46"/>
      <c r="Q76" s="126"/>
    </row>
    <row r="77" customFormat="false" ht="13.5" hidden="false" customHeight="true" outlineLevel="0" collapsed="false">
      <c r="A77" s="120"/>
      <c r="B77" s="114"/>
      <c r="C77" s="30" t="s">
        <v>41</v>
      </c>
      <c r="D77" s="127" t="n">
        <v>0</v>
      </c>
      <c r="E77" s="127" t="n">
        <v>0</v>
      </c>
      <c r="F77" s="127" t="n">
        <v>0</v>
      </c>
      <c r="G77" s="127" t="n">
        <v>0</v>
      </c>
      <c r="H77" s="127" t="n">
        <f aca="false">SUM(D77:G77)</f>
        <v>0</v>
      </c>
      <c r="I77" s="127" t="n">
        <v>0</v>
      </c>
      <c r="J77" s="123"/>
      <c r="K77" s="125"/>
      <c r="L77" s="125"/>
      <c r="M77" s="102"/>
      <c r="N77" s="102"/>
      <c r="Q77" s="126"/>
    </row>
    <row r="78" customFormat="false" ht="13.5" hidden="false" customHeight="true" outlineLevel="0" collapsed="false">
      <c r="A78" s="120"/>
      <c r="B78" s="114"/>
      <c r="C78" s="38" t="s">
        <v>42</v>
      </c>
      <c r="D78" s="127" t="n">
        <v>0</v>
      </c>
      <c r="E78" s="137" t="n">
        <v>0</v>
      </c>
      <c r="F78" s="137" t="n">
        <v>0</v>
      </c>
      <c r="G78" s="137" t="n">
        <v>0</v>
      </c>
      <c r="H78" s="137" t="n">
        <f aca="false">SUM(D78:G78)</f>
        <v>0</v>
      </c>
      <c r="I78" s="169" t="n">
        <v>0</v>
      </c>
      <c r="J78" s="123"/>
      <c r="K78" s="125"/>
      <c r="L78" s="125"/>
      <c r="M78" s="106"/>
      <c r="N78" s="42" t="n">
        <v>268.88</v>
      </c>
      <c r="Q78" s="126"/>
    </row>
    <row r="79" customFormat="false" ht="13.5" hidden="false" customHeight="true" outlineLevel="0" collapsed="false">
      <c r="A79" s="120"/>
      <c r="B79" s="121" t="s">
        <v>244</v>
      </c>
      <c r="C79" s="39" t="s">
        <v>43</v>
      </c>
      <c r="D79" s="127" t="n">
        <v>0.03</v>
      </c>
      <c r="E79" s="127" t="n">
        <v>28.87</v>
      </c>
      <c r="F79" s="127" t="n">
        <v>239.98</v>
      </c>
      <c r="G79" s="127" t="n">
        <v>0</v>
      </c>
      <c r="H79" s="127" t="n">
        <f aca="false">SUM(D79:G79)</f>
        <v>268.88</v>
      </c>
      <c r="I79" s="128" t="n">
        <v>11.05</v>
      </c>
      <c r="J79" s="123"/>
      <c r="K79" s="124"/>
      <c r="L79" s="129"/>
      <c r="M79" s="106"/>
      <c r="N79" s="46" t="n">
        <v>0.03</v>
      </c>
      <c r="Q79" s="126"/>
    </row>
    <row r="80" customFormat="false" ht="13.5" hidden="false" customHeight="true" outlineLevel="0" collapsed="false">
      <c r="A80" s="170"/>
      <c r="B80" s="171"/>
      <c r="C80" s="25" t="s">
        <v>245</v>
      </c>
      <c r="D80" s="172" t="n">
        <f aca="false">D81+D82+D83</f>
        <v>6176.45597</v>
      </c>
      <c r="E80" s="172" t="n">
        <f aca="false">E81+E82+E83</f>
        <v>619.04913</v>
      </c>
      <c r="F80" s="172" t="n">
        <f aca="false">F81+F82+F83</f>
        <v>2117.00038</v>
      </c>
      <c r="G80" s="172" t="n">
        <f aca="false">G81+G82+G83</f>
        <v>14.33952</v>
      </c>
      <c r="H80" s="172" t="n">
        <f aca="false">H81+H82+H83</f>
        <v>8926.835</v>
      </c>
      <c r="I80" s="172" t="n">
        <f aca="false">I81+I82+I83</f>
        <v>533.03581</v>
      </c>
      <c r="J80" s="123" t="n">
        <f aca="false">(H81+H82+H83)/$L$17</f>
        <v>7.11018319394664</v>
      </c>
      <c r="K80" s="125"/>
      <c r="L80" s="125"/>
      <c r="M80" s="106"/>
      <c r="N80" s="46" t="n">
        <v>28.87</v>
      </c>
      <c r="Q80" s="126"/>
    </row>
    <row r="81" customFormat="false" ht="13.5" hidden="false" customHeight="true" outlineLevel="0" collapsed="false">
      <c r="A81" s="173"/>
      <c r="B81" s="173"/>
      <c r="C81" s="30" t="s">
        <v>41</v>
      </c>
      <c r="D81" s="174" t="n">
        <f aca="false">D25+D29+D33+D37+D41+D45+D49+D53+D57+D61+D65+D69+D73+D77</f>
        <v>2412.86</v>
      </c>
      <c r="E81" s="174" t="n">
        <f aca="false">E25+E29+E33+E37+E41+E45+E49+E53+E57+E61+E65+E69+E73+E77</f>
        <v>425.08</v>
      </c>
      <c r="F81" s="174" t="n">
        <f aca="false">F25+F29+F33+F37+F41+F45+F49+F53+F57+F61+F65+F69+F73+F77</f>
        <v>2070.31</v>
      </c>
      <c r="G81" s="174" t="n">
        <f aca="false">G25+G29+G33+G37+G41+G45+G49+G53+G57+G61+G65+G69+G73+G77</f>
        <v>49.08</v>
      </c>
      <c r="H81" s="174" t="n">
        <f aca="false">H25+H29+H33+H37+H41+H45+H49+H53+H57+H61+H65+H69+H77</f>
        <v>4957.33</v>
      </c>
      <c r="I81" s="174" t="n">
        <f aca="false">I25+I29+I33+I37+I41+I45+I49+I53+I57+I61+I65+I69+I77</f>
        <v>191.13</v>
      </c>
      <c r="J81" s="175"/>
      <c r="K81" s="125"/>
      <c r="L81" s="125"/>
      <c r="M81" s="106"/>
      <c r="N81" s="46" t="n">
        <v>239.98</v>
      </c>
    </row>
    <row r="82" customFormat="false" ht="13.5" hidden="false" customHeight="true" outlineLevel="0" collapsed="false">
      <c r="A82" s="173"/>
      <c r="B82" s="173"/>
      <c r="C82" s="38" t="s">
        <v>42</v>
      </c>
      <c r="D82" s="176" t="n">
        <f aca="false">D26+D30+D34+D38+D42+D46+D50+D54+D58+D62+D66+D70+D78</f>
        <v>-1135.54403</v>
      </c>
      <c r="E82" s="176" t="n">
        <f aca="false">E26+E30+E34+E38+E42+E46+E50+E54+E58+E62+E66+E70+E78</f>
        <v>-311.54087</v>
      </c>
      <c r="F82" s="176" t="n">
        <f aca="false">F26+F30+F34+F38+F42+F46+F50+F54+F58+F62+F66+F70+F78</f>
        <v>-2028.55962</v>
      </c>
      <c r="G82" s="176" t="n">
        <f aca="false">G26+G30+G34+G38+G42+G46+G50+G54+G58+G62+G66+G70+G78</f>
        <v>-37.09048</v>
      </c>
      <c r="H82" s="176" t="n">
        <f aca="false">H26+H30+H34+H38+H42+H46+H50+H54+H58+H62+H66+H70+H78</f>
        <v>-3512.745</v>
      </c>
      <c r="I82" s="176" t="n">
        <f aca="false">I26+I30+I34+I38+I42+I46+I50+I54+I58+I62+I66+I70+I78</f>
        <v>-101.82438</v>
      </c>
      <c r="J82" s="175"/>
      <c r="K82" s="125"/>
      <c r="L82" s="125"/>
      <c r="M82" s="106"/>
      <c r="N82" s="46" t="n">
        <v>0</v>
      </c>
    </row>
    <row r="83" customFormat="false" ht="13.5" hidden="false" customHeight="true" outlineLevel="0" collapsed="false">
      <c r="A83" s="173"/>
      <c r="B83" s="173"/>
      <c r="C83" s="39" t="s">
        <v>43</v>
      </c>
      <c r="D83" s="174" t="n">
        <f aca="false">D27+D31+D35+D39+D43+D47+D51+D55+D59+D63+D67+D71+D75+D79</f>
        <v>4899.14</v>
      </c>
      <c r="E83" s="174" t="n">
        <f aca="false">E27+E31+E35+E39+E43+E47+E51+E55+E59+E63+E67+E71+E75+E79</f>
        <v>505.51</v>
      </c>
      <c r="F83" s="174" t="n">
        <f aca="false">F27+F31+F35+F39+F43+F47+F51+F55+F59+F63+F67+F71+F75+F79</f>
        <v>2075.25</v>
      </c>
      <c r="G83" s="174" t="n">
        <f aca="false">G27+G31+G35+G39+G43+G47+G51+G55+G59+G63+G67+G71+G75+G79</f>
        <v>2.35</v>
      </c>
      <c r="H83" s="174" t="n">
        <f aca="false">H27+H31+H35+H39+H43+H47+H51+H55+H59+H63+H67+H71+H75+H79</f>
        <v>7482.25</v>
      </c>
      <c r="I83" s="174" t="n">
        <f aca="false">I27+I31+I35+I39+I43+I47+I51+I55+I59+I63+I67+I71+I79</f>
        <v>443.73019</v>
      </c>
      <c r="J83" s="175"/>
      <c r="K83" s="125"/>
      <c r="L83" s="125"/>
      <c r="M83" s="106"/>
      <c r="N83" s="46" t="n">
        <v>11.05373</v>
      </c>
    </row>
    <row r="84" s="1" customFormat="true" ht="13.5" hidden="false" customHeight="true" outlineLevel="0" collapsed="false">
      <c r="K84" s="125"/>
      <c r="L84" s="125"/>
    </row>
    <row r="85" s="1" customFormat="true" ht="12.75" hidden="false" customHeight="true" outlineLevel="0" collapsed="false"/>
    <row r="86" customFormat="false" ht="12.75" hidden="false" customHeight="true" outlineLevel="0" collapsed="false">
      <c r="A86" s="83"/>
      <c r="B86" s="84"/>
      <c r="C86" s="84"/>
      <c r="D86" s="80"/>
      <c r="E86" s="80"/>
      <c r="F86" s="80"/>
      <c r="G86" s="80"/>
      <c r="H86" s="80"/>
    </row>
    <row r="87" customFormat="false" ht="12.75" hidden="false" customHeight="true" outlineLevel="0" collapsed="false">
      <c r="A87" s="83"/>
      <c r="B87" s="84"/>
      <c r="C87" s="84"/>
      <c r="D87" s="80"/>
      <c r="E87" s="80"/>
      <c r="F87" s="80"/>
      <c r="G87" s="80"/>
      <c r="H87" s="80"/>
    </row>
    <row r="88" customFormat="false" ht="12.75" hidden="false" customHeight="true" outlineLevel="0" collapsed="false">
      <c r="A88" s="79" t="s">
        <v>170</v>
      </c>
      <c r="B88" s="79"/>
      <c r="C88" s="79"/>
      <c r="D88" s="80"/>
      <c r="E88" s="80"/>
      <c r="F88" s="80"/>
      <c r="G88" s="80"/>
      <c r="H88" s="80"/>
    </row>
    <row r="89" customFormat="false" ht="12.75" hidden="false" customHeight="true" outlineLevel="0" collapsed="false">
      <c r="A89" s="81" t="s">
        <v>171</v>
      </c>
      <c r="B89" s="81"/>
      <c r="C89" s="81"/>
      <c r="D89" s="81"/>
      <c r="E89" s="81"/>
      <c r="F89" s="81"/>
      <c r="G89" s="81"/>
      <c r="H89" s="81"/>
    </row>
    <row r="90" customFormat="false" ht="12.75" hidden="false" customHeight="true" outlineLevel="0" collapsed="false">
      <c r="A90" s="82" t="s">
        <v>168</v>
      </c>
      <c r="B90" s="82"/>
      <c r="C90" s="82"/>
      <c r="D90" s="82"/>
      <c r="E90" s="82"/>
      <c r="F90" s="82"/>
      <c r="G90" s="82"/>
      <c r="H90" s="82"/>
    </row>
    <row r="91" customFormat="false" ht="12.75" hidden="false" customHeight="true" outlineLevel="0" collapsed="false">
      <c r="A91" s="83"/>
      <c r="B91" s="84"/>
      <c r="C91" s="84"/>
      <c r="D91" s="80"/>
      <c r="E91" s="80"/>
      <c r="F91" s="80"/>
      <c r="G91" s="80"/>
      <c r="H91" s="80"/>
    </row>
    <row r="92" customFormat="false" ht="12.75" hidden="false" customHeight="true" outlineLevel="0" collapsed="false">
      <c r="A92" s="79" t="s">
        <v>172</v>
      </c>
      <c r="B92" s="79"/>
      <c r="C92" s="84"/>
      <c r="D92" s="80"/>
      <c r="E92" s="80"/>
      <c r="F92" s="80"/>
      <c r="G92" s="80"/>
      <c r="H92" s="80"/>
    </row>
    <row r="93" customFormat="false" ht="12.75" hidden="false" customHeight="true" outlineLevel="0" collapsed="false">
      <c r="A93" s="81" t="s">
        <v>173</v>
      </c>
      <c r="B93" s="81"/>
      <c r="C93" s="81"/>
      <c r="D93" s="81"/>
      <c r="E93" s="81"/>
      <c r="F93" s="81"/>
      <c r="G93" s="81"/>
      <c r="H93" s="81"/>
    </row>
    <row r="94" customFormat="false" ht="12.75" hidden="false" customHeight="true" outlineLevel="0" collapsed="false">
      <c r="A94" s="82" t="s">
        <v>168</v>
      </c>
      <c r="B94" s="82"/>
      <c r="C94" s="82"/>
      <c r="D94" s="82"/>
      <c r="E94" s="82"/>
      <c r="F94" s="82"/>
      <c r="G94" s="82"/>
      <c r="H94" s="82"/>
    </row>
    <row r="95" customFormat="false" ht="12.75" hidden="false" customHeight="true" outlineLevel="0" collapsed="false">
      <c r="A95" s="83"/>
      <c r="B95" s="84"/>
      <c r="C95" s="84"/>
      <c r="D95" s="80"/>
      <c r="E95" s="80"/>
      <c r="F95" s="80"/>
      <c r="G95" s="80"/>
      <c r="H95" s="80"/>
    </row>
    <row r="96" customFormat="false" ht="12.75" hidden="false" customHeight="true" outlineLevel="0" collapsed="false">
      <c r="A96" s="79" t="s">
        <v>246</v>
      </c>
      <c r="B96" s="79"/>
      <c r="C96" s="84"/>
      <c r="D96" s="80"/>
      <c r="E96" s="80"/>
      <c r="F96" s="80"/>
      <c r="G96" s="80"/>
      <c r="H96" s="80"/>
    </row>
    <row r="97" customFormat="false" ht="12.75" hidden="false" customHeight="true" outlineLevel="0" collapsed="false">
      <c r="A97" s="81" t="s">
        <v>247</v>
      </c>
      <c r="B97" s="81"/>
      <c r="C97" s="81"/>
      <c r="D97" s="81"/>
      <c r="E97" s="81"/>
      <c r="F97" s="81"/>
      <c r="G97" s="81"/>
      <c r="H97" s="81"/>
    </row>
    <row r="98" customFormat="false" ht="12.75" hidden="false" customHeight="true" outlineLevel="0" collapsed="false">
      <c r="A98" s="82" t="s">
        <v>168</v>
      </c>
      <c r="B98" s="82"/>
      <c r="C98" s="82"/>
      <c r="D98" s="82"/>
      <c r="E98" s="82"/>
      <c r="F98" s="82"/>
      <c r="G98" s="82"/>
      <c r="H98" s="82"/>
    </row>
    <row r="99" customFormat="false" ht="12.75" hidden="false" customHeight="true" outlineLevel="0" collapsed="false">
      <c r="A99" s="83"/>
      <c r="B99" s="84"/>
      <c r="C99" s="84"/>
      <c r="D99" s="80"/>
      <c r="E99" s="80"/>
      <c r="F99" s="80"/>
      <c r="G99" s="80"/>
      <c r="H99" s="80"/>
    </row>
    <row r="100" customFormat="false" ht="12.75" hidden="false" customHeight="true" outlineLevel="0" collapsed="false">
      <c r="A100" s="79" t="s">
        <v>248</v>
      </c>
      <c r="B100" s="79"/>
      <c r="C100" s="84"/>
      <c r="D100" s="80"/>
      <c r="E100" s="80"/>
      <c r="F100" s="80"/>
      <c r="G100" s="80"/>
      <c r="H100" s="80"/>
    </row>
    <row r="101" customFormat="false" ht="12.75" hidden="false" customHeight="true" outlineLevel="0" collapsed="false">
      <c r="A101" s="81" t="s">
        <v>249</v>
      </c>
      <c r="B101" s="81"/>
      <c r="C101" s="81"/>
      <c r="D101" s="81"/>
      <c r="E101" s="81"/>
      <c r="F101" s="81"/>
      <c r="G101" s="81"/>
      <c r="H101" s="81"/>
    </row>
    <row r="102" customFormat="false" ht="12.75" hidden="false" customHeight="true" outlineLevel="0" collapsed="false">
      <c r="A102" s="82" t="s">
        <v>168</v>
      </c>
      <c r="B102" s="82"/>
      <c r="C102" s="82"/>
      <c r="D102" s="82"/>
      <c r="E102" s="82"/>
      <c r="F102" s="82"/>
      <c r="G102" s="82"/>
      <c r="H102" s="82"/>
    </row>
  </sheetData>
  <mergeCells count="37">
    <mergeCell ref="A1:D1"/>
    <mergeCell ref="B4:I4"/>
    <mergeCell ref="B5:I5"/>
    <mergeCell ref="A8:C8"/>
    <mergeCell ref="D8:I8"/>
    <mergeCell ref="D9:I9"/>
    <mergeCell ref="A11:C11"/>
    <mergeCell ref="D11:I11"/>
    <mergeCell ref="A13:C13"/>
    <mergeCell ref="A15:C15"/>
    <mergeCell ref="A17:C17"/>
    <mergeCell ref="A19:J19"/>
    <mergeCell ref="A21:A22"/>
    <mergeCell ref="B21:B22"/>
    <mergeCell ref="C21:C22"/>
    <mergeCell ref="D21:H21"/>
    <mergeCell ref="I21:I22"/>
    <mergeCell ref="J21:J22"/>
    <mergeCell ref="U29:X29"/>
    <mergeCell ref="U30:X30"/>
    <mergeCell ref="P31:R31"/>
    <mergeCell ref="U31:X31"/>
    <mergeCell ref="P32:R32"/>
    <mergeCell ref="U32:X32"/>
    <mergeCell ref="U33:X33"/>
    <mergeCell ref="U34:X34"/>
    <mergeCell ref="U35:X35"/>
    <mergeCell ref="U36:X36"/>
    <mergeCell ref="U37:X37"/>
    <mergeCell ref="A89:H89"/>
    <mergeCell ref="A90:H90"/>
    <mergeCell ref="A93:H93"/>
    <mergeCell ref="A94:H94"/>
    <mergeCell ref="A97:H97"/>
    <mergeCell ref="A98:H98"/>
    <mergeCell ref="A101:H101"/>
    <mergeCell ref="A102:H102"/>
  </mergeCells>
  <printOptions headings="false" gridLines="false" gridLinesSet="true" horizontalCentered="false" verticalCentered="false"/>
  <pageMargins left="0.354166666666667" right="0.354166666666667" top="0.354166666666667" bottom="0.354166666666667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102"/>
  <sheetViews>
    <sheetView showFormulas="false" showGridLines="true" showRowColHeaders="true" showZeros="true" rightToLeft="false" tabSelected="false" showOutlineSymbols="true" defaultGridColor="true" view="pageBreakPreview" topLeftCell="A1" colorId="64" zoomScale="70" zoomScaleNormal="85" zoomScalePageLayoutView="70" workbookViewId="0">
      <selection pane="topLeft" activeCell="A19" activeCellId="0" sqref="A19"/>
    </sheetView>
  </sheetViews>
  <sheetFormatPr defaultColWidth="9.1484375" defaultRowHeight="12.75" zeroHeight="false" outlineLevelRow="0" outlineLevelCol="0"/>
  <cols>
    <col collapsed="false" customWidth="true" hidden="false" outlineLevel="0" max="1" min="1" style="86" width="5.71"/>
    <col collapsed="false" customWidth="true" hidden="false" outlineLevel="0" max="2" min="2" style="86" width="11.57"/>
    <col collapsed="false" customWidth="true" hidden="false" outlineLevel="0" max="3" min="3" style="86" width="40.71"/>
    <col collapsed="false" customWidth="true" hidden="false" outlineLevel="0" max="10" min="4" style="86" width="12.71"/>
    <col collapsed="false" customWidth="true" hidden="false" outlineLevel="0" max="11" min="11" style="1" width="12.42"/>
    <col collapsed="false" customWidth="true" hidden="false" outlineLevel="0" max="12" min="12" style="1" width="14"/>
    <col collapsed="false" customWidth="true" hidden="false" outlineLevel="0" max="13" min="13" style="1" width="22.15"/>
    <col collapsed="false" customWidth="true" hidden="false" outlineLevel="0" max="17" min="14" style="1" width="15.42"/>
    <col collapsed="false" customWidth="true" hidden="false" outlineLevel="0" max="18" min="18" style="1" width="20.29"/>
    <col collapsed="false" customWidth="true" hidden="false" outlineLevel="0" max="19" min="19" style="1" width="15.42"/>
    <col collapsed="false" customWidth="true" hidden="false" outlineLevel="0" max="20" min="20" style="1" width="15.57"/>
    <col collapsed="false" customWidth="true" hidden="false" outlineLevel="0" max="21" min="21" style="1" width="21.84"/>
    <col collapsed="false" customWidth="false" hidden="false" outlineLevel="0" max="22" min="22" style="1" width="9.14"/>
    <col collapsed="false" customWidth="true" hidden="false" outlineLevel="0" max="23" min="23" style="1" width="13.29"/>
    <col collapsed="false" customWidth="true" hidden="false" outlineLevel="0" max="24" min="24" style="1" width="14"/>
    <col collapsed="false" customWidth="false" hidden="false" outlineLevel="0" max="16384" min="25" style="1" width="9.14"/>
  </cols>
  <sheetData>
    <row r="1" customFormat="false" ht="12.75" hidden="false" customHeight="true" outlineLevel="0" collapsed="false">
      <c r="A1" s="87"/>
      <c r="B1" s="87"/>
      <c r="C1" s="87"/>
      <c r="D1" s="87"/>
    </row>
    <row r="2" customFormat="false" ht="13.5" hidden="false" customHeight="true" outlineLevel="0" collapsed="false">
      <c r="A2" s="88"/>
      <c r="B2" s="88"/>
      <c r="C2" s="88"/>
      <c r="D2" s="88"/>
      <c r="E2" s="88"/>
      <c r="F2" s="88"/>
      <c r="G2" s="88"/>
      <c r="H2" s="88"/>
      <c r="I2" s="89"/>
      <c r="J2" s="90" t="s">
        <v>196</v>
      </c>
    </row>
    <row r="3" customFormat="false" ht="13.5" hidden="false" customHeight="true" outlineLevel="0" collapsed="false">
      <c r="A3" s="91"/>
      <c r="B3" s="89"/>
      <c r="C3" s="89"/>
      <c r="D3" s="89"/>
      <c r="E3" s="89"/>
      <c r="F3" s="89"/>
      <c r="G3" s="89"/>
      <c r="H3" s="89"/>
      <c r="I3" s="89"/>
      <c r="J3" s="89"/>
    </row>
    <row r="4" customFormat="false" ht="57" hidden="false" customHeight="true" outlineLevel="0" collapsed="false">
      <c r="A4" s="92"/>
      <c r="B4" s="93" t="s">
        <v>11</v>
      </c>
      <c r="C4" s="93"/>
      <c r="D4" s="93"/>
      <c r="E4" s="93"/>
      <c r="F4" s="93"/>
      <c r="G4" s="93"/>
      <c r="H4" s="93"/>
      <c r="I4" s="93"/>
      <c r="J4" s="92"/>
    </row>
    <row r="5" customFormat="false" ht="13.5" hidden="false" customHeight="true" outlineLevel="0" collapsed="false">
      <c r="A5" s="92"/>
      <c r="B5" s="94" t="s">
        <v>197</v>
      </c>
      <c r="C5" s="94"/>
      <c r="D5" s="94"/>
      <c r="E5" s="94"/>
      <c r="F5" s="94"/>
      <c r="G5" s="94"/>
      <c r="H5" s="94"/>
      <c r="I5" s="94"/>
      <c r="J5" s="92"/>
    </row>
    <row r="6" customFormat="false" ht="13.5" hidden="false" customHeight="true" outlineLevel="0" collapsed="false">
      <c r="A6" s="91"/>
      <c r="B6" s="89"/>
      <c r="C6" s="89"/>
      <c r="D6" s="89"/>
      <c r="E6" s="89"/>
      <c r="F6" s="89"/>
      <c r="G6" s="89"/>
      <c r="H6" s="89"/>
      <c r="I6" s="89"/>
      <c r="J6" s="89"/>
    </row>
    <row r="7" customFormat="false" ht="13.5" hidden="false" customHeight="true" outlineLevel="0" collapsed="false">
      <c r="A7" s="95"/>
      <c r="B7" s="95"/>
      <c r="C7" s="95"/>
      <c r="D7" s="89"/>
      <c r="E7" s="89"/>
      <c r="F7" s="89"/>
      <c r="G7" s="89"/>
      <c r="H7" s="89"/>
      <c r="I7" s="89"/>
      <c r="J7" s="89"/>
    </row>
    <row r="8" customFormat="false" ht="15" hidden="false" customHeight="true" outlineLevel="0" collapsed="false">
      <c r="A8" s="97" t="s">
        <v>198</v>
      </c>
      <c r="B8" s="97"/>
      <c r="C8" s="97"/>
      <c r="D8" s="98" t="s">
        <v>199</v>
      </c>
      <c r="E8" s="98"/>
      <c r="F8" s="98"/>
      <c r="G8" s="98"/>
      <c r="H8" s="98"/>
      <c r="I8" s="98"/>
      <c r="J8" s="99"/>
      <c r="N8" s="102"/>
      <c r="O8" s="102"/>
    </row>
    <row r="9" customFormat="false" ht="13.5" hidden="false" customHeight="true" outlineLevel="0" collapsed="false">
      <c r="A9" s="95"/>
      <c r="B9" s="95"/>
      <c r="C9" s="89"/>
      <c r="D9" s="100" t="s">
        <v>200</v>
      </c>
      <c r="E9" s="100"/>
      <c r="F9" s="100"/>
      <c r="G9" s="100"/>
      <c r="H9" s="100"/>
      <c r="I9" s="100"/>
      <c r="J9" s="89"/>
      <c r="N9" s="106"/>
      <c r="O9" s="106"/>
    </row>
    <row r="10" customFormat="false" ht="17.25" hidden="false" customHeight="true" outlineLevel="0" collapsed="false">
      <c r="A10" s="91"/>
      <c r="B10" s="89"/>
      <c r="C10" s="89"/>
      <c r="D10" s="89"/>
      <c r="E10" s="89"/>
      <c r="F10" s="89"/>
      <c r="G10" s="89"/>
      <c r="H10" s="89"/>
      <c r="I10" s="89"/>
      <c r="J10" s="89"/>
      <c r="N10" s="106"/>
      <c r="O10" s="106"/>
      <c r="P10" s="96"/>
      <c r="Q10" s="96"/>
      <c r="R10" s="96"/>
      <c r="S10" s="96"/>
    </row>
    <row r="11" customFormat="false" ht="54" hidden="false" customHeight="true" outlineLevel="0" collapsed="false">
      <c r="A11" s="103" t="s">
        <v>201</v>
      </c>
      <c r="B11" s="103"/>
      <c r="C11" s="103"/>
      <c r="D11" s="104" t="s">
        <v>11</v>
      </c>
      <c r="E11" s="104"/>
      <c r="F11" s="104"/>
      <c r="G11" s="104"/>
      <c r="H11" s="104"/>
      <c r="I11" s="104"/>
      <c r="J11" s="92"/>
      <c r="N11" s="102"/>
      <c r="O11" s="102"/>
      <c r="P11" s="96"/>
      <c r="Q11" s="96"/>
      <c r="R11" s="96"/>
      <c r="S11" s="96"/>
    </row>
    <row r="12" customFormat="false" ht="17.25" hidden="false" customHeight="true" outlineLevel="0" collapsed="false">
      <c r="A12" s="91"/>
      <c r="B12" s="89"/>
      <c r="C12" s="89"/>
      <c r="D12" s="89"/>
      <c r="E12" s="89"/>
      <c r="F12" s="89"/>
      <c r="G12" s="89"/>
      <c r="H12" s="89"/>
      <c r="I12" s="89"/>
      <c r="J12" s="89"/>
      <c r="N12" s="106"/>
      <c r="O12" s="106"/>
      <c r="P12" s="96"/>
      <c r="Q12" s="96"/>
      <c r="R12" s="96"/>
      <c r="S12" s="96"/>
    </row>
    <row r="13" customFormat="false" ht="17.25" hidden="false" customHeight="true" outlineLevel="0" collapsed="false">
      <c r="A13" s="103" t="s">
        <v>15</v>
      </c>
      <c r="B13" s="103"/>
      <c r="C13" s="103"/>
      <c r="D13" s="108" t="n">
        <f aca="false">H80</f>
        <v>120868.10257</v>
      </c>
      <c r="E13" s="109" t="s">
        <v>202</v>
      </c>
      <c r="F13" s="110"/>
      <c r="G13" s="89"/>
      <c r="H13" s="89"/>
      <c r="I13" s="89"/>
      <c r="J13" s="89"/>
      <c r="N13" s="106"/>
      <c r="O13" s="106"/>
      <c r="P13" s="96"/>
      <c r="Q13" s="96"/>
      <c r="R13" s="96"/>
      <c r="S13" s="96"/>
    </row>
    <row r="14" customFormat="false" ht="17.25" hidden="false" customHeight="true" outlineLevel="0" collapsed="false">
      <c r="A14" s="111"/>
      <c r="B14" s="112"/>
      <c r="C14" s="112"/>
      <c r="D14" s="113"/>
      <c r="E14" s="109"/>
      <c r="F14" s="89"/>
      <c r="G14" s="89"/>
      <c r="H14" s="89"/>
      <c r="I14" s="89"/>
      <c r="J14" s="89"/>
      <c r="N14" s="106"/>
      <c r="O14" s="106"/>
      <c r="P14" s="96"/>
      <c r="Q14" s="96"/>
      <c r="R14" s="96"/>
      <c r="S14" s="96"/>
    </row>
    <row r="15" customFormat="false" ht="17.25" hidden="false" customHeight="true" outlineLevel="0" collapsed="false">
      <c r="A15" s="103" t="s">
        <v>203</v>
      </c>
      <c r="B15" s="103"/>
      <c r="C15" s="103"/>
      <c r="D15" s="108" t="n">
        <f aca="false">I80</f>
        <v>26008.02515</v>
      </c>
      <c r="E15" s="109" t="s">
        <v>202</v>
      </c>
      <c r="F15" s="110"/>
      <c r="G15" s="89"/>
      <c r="H15" s="89"/>
      <c r="I15" s="89"/>
      <c r="J15" s="89"/>
      <c r="N15" s="106"/>
      <c r="O15" s="106"/>
      <c r="P15" s="96"/>
      <c r="Q15" s="96"/>
      <c r="R15" s="96"/>
      <c r="S15" s="96"/>
    </row>
    <row r="16" customFormat="false" ht="17.25" hidden="false" customHeight="true" outlineLevel="0" collapsed="false">
      <c r="A16" s="91"/>
      <c r="B16" s="89"/>
      <c r="C16" s="89"/>
      <c r="D16" s="113"/>
      <c r="E16" s="109"/>
      <c r="F16" s="89"/>
      <c r="G16" s="89"/>
      <c r="H16" s="89"/>
      <c r="I16" s="89"/>
      <c r="J16" s="89"/>
      <c r="N16" s="106"/>
      <c r="O16" s="106"/>
      <c r="P16" s="96"/>
      <c r="Q16" s="96"/>
      <c r="R16" s="96"/>
      <c r="S16" s="96"/>
    </row>
    <row r="17" customFormat="false" ht="17.25" hidden="false" customHeight="true" outlineLevel="0" collapsed="false">
      <c r="A17" s="103" t="s">
        <v>204</v>
      </c>
      <c r="B17" s="103"/>
      <c r="C17" s="103"/>
      <c r="D17" s="108" t="n">
        <f aca="false">D13/L17</f>
        <v>96.2708901393867</v>
      </c>
      <c r="E17" s="109" t="s">
        <v>205</v>
      </c>
      <c r="F17" s="113"/>
      <c r="G17" s="89"/>
      <c r="H17" s="89"/>
      <c r="I17" s="89"/>
      <c r="J17" s="89"/>
      <c r="L17" s="1" t="n">
        <v>1255.5</v>
      </c>
      <c r="P17" s="96"/>
      <c r="Q17" s="96"/>
      <c r="R17" s="96"/>
      <c r="S17" s="96"/>
    </row>
    <row r="18" customFormat="false" ht="13.5" hidden="false" customHeight="true" outlineLevel="0" collapsed="false">
      <c r="A18" s="91"/>
      <c r="B18" s="89"/>
      <c r="C18" s="89"/>
      <c r="D18" s="89"/>
      <c r="E18" s="89"/>
      <c r="F18" s="89"/>
      <c r="G18" s="89"/>
      <c r="H18" s="89"/>
      <c r="I18" s="89"/>
      <c r="J18" s="89"/>
    </row>
    <row r="19" customFormat="false" ht="13.5" hidden="false" customHeight="true" outlineLevel="0" collapsed="false">
      <c r="A19" s="103" t="s">
        <v>250</v>
      </c>
      <c r="B19" s="103"/>
      <c r="C19" s="103"/>
      <c r="D19" s="103"/>
      <c r="E19" s="103"/>
      <c r="F19" s="103"/>
      <c r="G19" s="103"/>
      <c r="H19" s="103"/>
      <c r="I19" s="103"/>
      <c r="J19" s="103"/>
      <c r="P19" s="129" t="n">
        <v>3901.81</v>
      </c>
      <c r="Q19" s="129" t="n">
        <v>70241.88</v>
      </c>
      <c r="S19" s="142"/>
      <c r="T19" s="143"/>
      <c r="U19" s="143"/>
      <c r="V19" s="143"/>
    </row>
    <row r="20" customFormat="false" ht="13.5" hidden="false" customHeight="true" outlineLevel="0" collapsed="false">
      <c r="A20" s="89"/>
      <c r="B20" s="89"/>
      <c r="C20" s="89"/>
      <c r="D20" s="89"/>
      <c r="E20" s="89"/>
      <c r="F20" s="89"/>
      <c r="G20" s="89"/>
      <c r="H20" s="89"/>
      <c r="I20" s="89"/>
      <c r="J20" s="89"/>
      <c r="P20" s="125" t="n">
        <v>3885.12</v>
      </c>
      <c r="Q20" s="125" t="n">
        <v>69996.24</v>
      </c>
      <c r="S20" s="142"/>
      <c r="T20" s="143"/>
      <c r="U20" s="143"/>
      <c r="V20" s="143"/>
    </row>
    <row r="21" customFormat="false" ht="13.5" hidden="false" customHeight="true" outlineLevel="0" collapsed="false">
      <c r="A21" s="114" t="s">
        <v>207</v>
      </c>
      <c r="B21" s="114" t="s">
        <v>208</v>
      </c>
      <c r="C21" s="114" t="s">
        <v>209</v>
      </c>
      <c r="D21" s="114" t="s">
        <v>15</v>
      </c>
      <c r="E21" s="114"/>
      <c r="F21" s="114"/>
      <c r="G21" s="114"/>
      <c r="H21" s="114"/>
      <c r="I21" s="114" t="s">
        <v>210</v>
      </c>
      <c r="J21" s="114" t="s">
        <v>211</v>
      </c>
      <c r="P21" s="125" t="n">
        <v>16.69</v>
      </c>
      <c r="Q21" s="125" t="n">
        <v>245.64</v>
      </c>
      <c r="S21" s="142"/>
      <c r="T21" s="143"/>
      <c r="U21" s="143"/>
      <c r="V21" s="143"/>
    </row>
    <row r="22" customFormat="false" ht="48.75" hidden="false" customHeight="true" outlineLevel="0" collapsed="false">
      <c r="A22" s="114"/>
      <c r="B22" s="114"/>
      <c r="C22" s="114"/>
      <c r="D22" s="114" t="s">
        <v>212</v>
      </c>
      <c r="E22" s="114" t="s">
        <v>213</v>
      </c>
      <c r="F22" s="114" t="s">
        <v>214</v>
      </c>
      <c r="G22" s="114" t="s">
        <v>215</v>
      </c>
      <c r="H22" s="114" t="s">
        <v>216</v>
      </c>
      <c r="I22" s="114"/>
      <c r="J22" s="114"/>
      <c r="P22" s="125" t="n">
        <v>0</v>
      </c>
      <c r="Q22" s="125" t="n">
        <v>0</v>
      </c>
      <c r="S22" s="142"/>
      <c r="T22" s="143"/>
      <c r="U22" s="143"/>
      <c r="V22" s="143"/>
    </row>
    <row r="23" customFormat="false" ht="13.5" hidden="false" customHeight="true" outlineLevel="0" collapsed="false">
      <c r="A23" s="116" t="n">
        <v>1</v>
      </c>
      <c r="B23" s="116" t="n">
        <v>2</v>
      </c>
      <c r="C23" s="116" t="n">
        <v>3</v>
      </c>
      <c r="D23" s="116" t="n">
        <v>4</v>
      </c>
      <c r="E23" s="116" t="n">
        <v>5</v>
      </c>
      <c r="F23" s="116" t="n">
        <v>6</v>
      </c>
      <c r="G23" s="116" t="n">
        <v>7</v>
      </c>
      <c r="H23" s="116" t="n">
        <v>8</v>
      </c>
      <c r="I23" s="116" t="n">
        <v>9</v>
      </c>
      <c r="J23" s="116" t="n">
        <v>10</v>
      </c>
      <c r="N23" s="117"/>
      <c r="O23" s="117"/>
      <c r="P23" s="125" t="n">
        <v>0</v>
      </c>
      <c r="Q23" s="125" t="n">
        <v>0</v>
      </c>
      <c r="S23" s="142"/>
      <c r="T23" s="143"/>
      <c r="U23" s="143"/>
      <c r="V23" s="143"/>
    </row>
    <row r="24" customFormat="false" ht="13.5" hidden="false" customHeight="true" outlineLevel="0" collapsed="false">
      <c r="A24" s="120" t="n">
        <v>1</v>
      </c>
      <c r="B24" s="121"/>
      <c r="C24" s="25" t="s">
        <v>217</v>
      </c>
      <c r="D24" s="122"/>
      <c r="E24" s="122"/>
      <c r="F24" s="122"/>
      <c r="G24" s="122"/>
      <c r="H24" s="122"/>
      <c r="I24" s="122"/>
      <c r="J24" s="123" t="n">
        <f aca="false">(H25+H26+H27)/$L$17</f>
        <v>48.3970452090801</v>
      </c>
      <c r="K24" s="177"/>
      <c r="L24" s="178"/>
      <c r="N24" s="126"/>
      <c r="O24" s="126"/>
      <c r="P24" s="125" t="n">
        <v>345.95877</v>
      </c>
      <c r="Q24" s="125" t="n">
        <v>19024.27276</v>
      </c>
      <c r="S24" s="142"/>
      <c r="T24" s="143"/>
      <c r="U24" s="143"/>
      <c r="V24" s="143"/>
    </row>
    <row r="25" customFormat="false" ht="13.5" hidden="false" customHeight="true" outlineLevel="0" collapsed="false">
      <c r="A25" s="120"/>
      <c r="B25" s="121" t="s">
        <v>218</v>
      </c>
      <c r="C25" s="30" t="s">
        <v>41</v>
      </c>
      <c r="D25" s="179" t="n">
        <v>8525.22</v>
      </c>
      <c r="E25" s="180" t="n">
        <v>0</v>
      </c>
      <c r="F25" s="180" t="n">
        <v>0</v>
      </c>
      <c r="G25" s="181" t="n">
        <v>48.63</v>
      </c>
      <c r="H25" s="127" t="n">
        <f aca="false">SUM(D25:G25)</f>
        <v>8573.85</v>
      </c>
      <c r="I25" s="182" t="n">
        <v>1730.1</v>
      </c>
      <c r="J25" s="123"/>
      <c r="L25" s="178"/>
      <c r="N25" s="126"/>
      <c r="O25" s="126"/>
    </row>
    <row r="26" customFormat="false" ht="13.5" hidden="false" customHeight="true" outlineLevel="0" collapsed="false">
      <c r="A26" s="120"/>
      <c r="B26" s="121"/>
      <c r="C26" s="38" t="s">
        <v>42</v>
      </c>
      <c r="D26" s="137" t="n">
        <v>-3582.62752</v>
      </c>
      <c r="E26" s="137" t="n">
        <v>0</v>
      </c>
      <c r="F26" s="137" t="n">
        <v>0</v>
      </c>
      <c r="G26" s="137" t="n">
        <v>0</v>
      </c>
      <c r="H26" s="137" t="n">
        <f aca="false">SUM(D26:G26)</f>
        <v>-3582.62752</v>
      </c>
      <c r="I26" s="137" t="n">
        <v>-739.74</v>
      </c>
      <c r="J26" s="123"/>
      <c r="L26" s="178"/>
      <c r="N26" s="126"/>
      <c r="O26" s="126"/>
      <c r="S26" s="117"/>
      <c r="T26" s="117"/>
    </row>
    <row r="27" customFormat="false" ht="13.5" hidden="false" customHeight="true" outlineLevel="0" collapsed="false">
      <c r="A27" s="120"/>
      <c r="B27" s="121"/>
      <c r="C27" s="39" t="s">
        <v>43</v>
      </c>
      <c r="D27" s="179" t="n">
        <v>55771.26778</v>
      </c>
      <c r="E27" s="179" t="n">
        <v>0</v>
      </c>
      <c r="F27" s="180" t="n">
        <v>0</v>
      </c>
      <c r="G27" s="179" t="n">
        <v>0</v>
      </c>
      <c r="H27" s="179" t="n">
        <f aca="false">SUM(D27:G27)</f>
        <v>55771.26778</v>
      </c>
      <c r="I27" s="179" t="n">
        <v>17498.17</v>
      </c>
      <c r="J27" s="123"/>
      <c r="L27" s="183"/>
      <c r="N27" s="126"/>
      <c r="O27" s="126"/>
      <c r="S27" s="126"/>
      <c r="T27" s="126"/>
    </row>
    <row r="28" customFormat="false" ht="19.5" hidden="false" customHeight="true" outlineLevel="0" collapsed="false">
      <c r="A28" s="120" t="n">
        <v>2</v>
      </c>
      <c r="B28" s="121"/>
      <c r="C28" s="25" t="s">
        <v>219</v>
      </c>
      <c r="D28" s="128"/>
      <c r="E28" s="128"/>
      <c r="F28" s="128"/>
      <c r="G28" s="128"/>
      <c r="H28" s="128"/>
      <c r="I28" s="128"/>
      <c r="J28" s="123" t="n">
        <f aca="false">(H29+H30+H31)/$L$17</f>
        <v>12.4299594026284</v>
      </c>
      <c r="K28" s="177"/>
      <c r="N28" s="126"/>
      <c r="O28" s="126"/>
      <c r="R28" s="42" t="n">
        <v>666.28</v>
      </c>
      <c r="S28" s="42" t="n">
        <v>6163.5</v>
      </c>
      <c r="T28" s="126"/>
      <c r="U28" s="42" t="n">
        <v>14371.37</v>
      </c>
    </row>
    <row r="29" customFormat="false" ht="15" hidden="false" customHeight="true" outlineLevel="0" collapsed="false">
      <c r="A29" s="120"/>
      <c r="B29" s="121" t="s">
        <v>220</v>
      </c>
      <c r="C29" s="30" t="s">
        <v>41</v>
      </c>
      <c r="D29" s="165"/>
      <c r="E29" s="179" t="n">
        <v>1721.77</v>
      </c>
      <c r="F29" s="179" t="n">
        <v>159.71</v>
      </c>
      <c r="G29" s="179" t="n">
        <v>34.83</v>
      </c>
      <c r="H29" s="179" t="n">
        <f aca="false">SUM(D29:G29)</f>
        <v>1916.31</v>
      </c>
      <c r="I29" s="179" t="n">
        <v>383.08</v>
      </c>
      <c r="J29" s="123"/>
      <c r="K29" s="184"/>
      <c r="L29" s="184"/>
      <c r="M29" s="184"/>
      <c r="N29" s="184"/>
      <c r="O29" s="138"/>
      <c r="R29" s="46" t="n">
        <v>469.61</v>
      </c>
      <c r="S29" s="46" t="n">
        <v>3690.16</v>
      </c>
      <c r="T29" s="126"/>
      <c r="U29" s="46" t="n">
        <v>4825.85</v>
      </c>
      <c r="V29" s="185"/>
      <c r="W29" s="42"/>
      <c r="X29" s="42"/>
      <c r="Y29" s="186"/>
    </row>
    <row r="30" customFormat="false" ht="15" hidden="false" customHeight="true" outlineLevel="0" collapsed="false">
      <c r="A30" s="120"/>
      <c r="B30" s="121"/>
      <c r="C30" s="38" t="s">
        <v>42</v>
      </c>
      <c r="D30" s="137" t="n">
        <v>0</v>
      </c>
      <c r="E30" s="137" t="n">
        <v>-913.35282</v>
      </c>
      <c r="F30" s="137" t="n">
        <v>-159.7064</v>
      </c>
      <c r="G30" s="137" t="n">
        <v>-34.83095</v>
      </c>
      <c r="H30" s="137" t="n">
        <f aca="false">SUM(D30:G30)</f>
        <v>-1107.89017</v>
      </c>
      <c r="I30" s="137" t="n">
        <f aca="false">-105.14</f>
        <v>-105.14</v>
      </c>
      <c r="J30" s="123"/>
      <c r="K30" s="125"/>
      <c r="L30" s="125"/>
      <c r="M30" s="132"/>
      <c r="N30" s="132"/>
      <c r="O30" s="138"/>
      <c r="R30" s="46" t="n">
        <v>0</v>
      </c>
      <c r="S30" s="46" t="n">
        <v>0</v>
      </c>
      <c r="T30" s="126"/>
      <c r="U30" s="46" t="n">
        <v>7981.08</v>
      </c>
      <c r="V30" s="187"/>
      <c r="W30" s="46"/>
      <c r="X30" s="46"/>
      <c r="Y30" s="151"/>
    </row>
    <row r="31" customFormat="false" ht="15" hidden="false" customHeight="true" outlineLevel="0" collapsed="false">
      <c r="A31" s="120"/>
      <c r="B31" s="121"/>
      <c r="C31" s="39" t="s">
        <v>43</v>
      </c>
      <c r="D31" s="179" t="n">
        <v>4657.10479</v>
      </c>
      <c r="E31" s="179" t="n">
        <v>8575.85376</v>
      </c>
      <c r="F31" s="179" t="n">
        <v>1564.43565</v>
      </c>
      <c r="G31" s="182" t="n">
        <v>0</v>
      </c>
      <c r="H31" s="179" t="n">
        <f aca="false">SUM(D31:G31)</f>
        <v>14797.3942</v>
      </c>
      <c r="I31" s="179" t="n">
        <v>2860.17</v>
      </c>
      <c r="J31" s="123"/>
      <c r="K31" s="125"/>
      <c r="L31" s="125"/>
      <c r="M31" s="132"/>
      <c r="N31" s="132"/>
      <c r="O31" s="138"/>
      <c r="R31" s="46" t="n">
        <v>194.33</v>
      </c>
      <c r="S31" s="46" t="n">
        <v>2435.87</v>
      </c>
      <c r="T31" s="126"/>
      <c r="U31" s="46" t="n">
        <v>1564.44</v>
      </c>
      <c r="V31" s="185"/>
      <c r="W31" s="46"/>
      <c r="X31" s="46"/>
      <c r="Y31" s="151"/>
    </row>
    <row r="32" customFormat="false" ht="15" hidden="false" customHeight="true" outlineLevel="0" collapsed="false">
      <c r="A32" s="120" t="n">
        <v>3</v>
      </c>
      <c r="B32" s="121"/>
      <c r="C32" s="25" t="s">
        <v>221</v>
      </c>
      <c r="D32" s="128"/>
      <c r="E32" s="128"/>
      <c r="F32" s="128"/>
      <c r="G32" s="128"/>
      <c r="H32" s="128"/>
      <c r="I32" s="128"/>
      <c r="J32" s="123" t="n">
        <f aca="false">(H33+H34+H35)/$L$17</f>
        <v>7.19910000796495</v>
      </c>
      <c r="K32" s="177"/>
      <c r="L32" s="125"/>
      <c r="M32" s="132"/>
      <c r="N32" s="132"/>
      <c r="O32" s="129"/>
      <c r="R32" s="46" t="n">
        <v>2.34</v>
      </c>
      <c r="S32" s="46" t="n">
        <v>37.47</v>
      </c>
      <c r="T32" s="126"/>
      <c r="U32" s="46" t="n">
        <v>0</v>
      </c>
      <c r="V32" s="185"/>
      <c r="W32" s="46"/>
      <c r="X32" s="46"/>
      <c r="Y32" s="151"/>
    </row>
    <row r="33" customFormat="false" ht="15.75" hidden="false" customHeight="true" outlineLevel="0" collapsed="false">
      <c r="A33" s="120"/>
      <c r="B33" s="121" t="s">
        <v>222</v>
      </c>
      <c r="C33" s="30" t="s">
        <v>41</v>
      </c>
      <c r="D33" s="182" t="n">
        <v>2678</v>
      </c>
      <c r="E33" s="182" t="n">
        <v>249.1</v>
      </c>
      <c r="F33" s="182" t="n">
        <v>1353.84</v>
      </c>
      <c r="G33" s="182" t="n">
        <v>465.85</v>
      </c>
      <c r="H33" s="182" t="n">
        <f aca="false">SUM(D33:G33)</f>
        <v>4746.79</v>
      </c>
      <c r="I33" s="182" t="n">
        <v>819.9</v>
      </c>
      <c r="J33" s="123"/>
      <c r="K33" s="125"/>
      <c r="L33" s="125"/>
      <c r="M33" s="144"/>
      <c r="N33" s="144"/>
      <c r="O33" s="125"/>
      <c r="R33" s="46"/>
      <c r="S33" s="46" t="n">
        <v>792.93713</v>
      </c>
      <c r="T33" s="117"/>
      <c r="U33" s="46" t="n">
        <v>2860.17123</v>
      </c>
      <c r="V33" s="185"/>
      <c r="W33" s="46"/>
      <c r="X33" s="46"/>
      <c r="Y33" s="151"/>
    </row>
    <row r="34" customFormat="false" ht="15.75" hidden="false" customHeight="true" outlineLevel="0" collapsed="false">
      <c r="A34" s="120"/>
      <c r="B34" s="121"/>
      <c r="C34" s="38" t="s">
        <v>42</v>
      </c>
      <c r="D34" s="137" t="n">
        <v>-2096.00301</v>
      </c>
      <c r="E34" s="137" t="n">
        <v>-241.65537</v>
      </c>
      <c r="F34" s="137" t="n">
        <v>-1353.84421</v>
      </c>
      <c r="G34" s="137" t="n">
        <v>-465.85111</v>
      </c>
      <c r="H34" s="137" t="n">
        <f aca="false">SUM(D34:G34)</f>
        <v>-4157.3537</v>
      </c>
      <c r="I34" s="137" t="n">
        <f aca="false">-631.03</f>
        <v>-631.03</v>
      </c>
      <c r="J34" s="123"/>
      <c r="K34" s="125"/>
      <c r="L34" s="125"/>
      <c r="M34" s="144"/>
      <c r="N34" s="144"/>
      <c r="O34" s="145" t="n">
        <f aca="false">SUM(O35:O38)</f>
        <v>-666.56</v>
      </c>
      <c r="P34" s="145"/>
      <c r="Q34" s="145" t="n">
        <f aca="false">SUM(Q35:Q38)</f>
        <v>-3864.88</v>
      </c>
      <c r="R34" s="162"/>
      <c r="S34" s="126"/>
      <c r="T34" s="126"/>
      <c r="U34" s="118"/>
      <c r="V34" s="188"/>
      <c r="W34" s="46"/>
      <c r="X34" s="46"/>
      <c r="Y34" s="151"/>
    </row>
    <row r="35" customFormat="false" ht="15.75" hidden="false" customHeight="true" outlineLevel="0" collapsed="false">
      <c r="A35" s="120"/>
      <c r="B35" s="121"/>
      <c r="C35" s="39" t="s">
        <v>43</v>
      </c>
      <c r="D35" s="179" t="n">
        <v>5551.40291</v>
      </c>
      <c r="E35" s="179" t="n">
        <v>43.7799</v>
      </c>
      <c r="F35" s="179" t="n">
        <v>2853.85095</v>
      </c>
      <c r="G35" s="179" t="n">
        <v>0</v>
      </c>
      <c r="H35" s="179" t="n">
        <f aca="false">SUM(D35:G35)</f>
        <v>8449.03376</v>
      </c>
      <c r="I35" s="179" t="n">
        <v>792.94</v>
      </c>
      <c r="J35" s="123"/>
      <c r="K35" s="125"/>
      <c r="L35" s="125"/>
      <c r="M35" s="144"/>
      <c r="N35" s="144"/>
      <c r="O35" s="146" t="n">
        <v>-332.86</v>
      </c>
      <c r="P35" s="96"/>
      <c r="Q35" s="146" t="n">
        <v>-1874.73</v>
      </c>
      <c r="R35" s="164"/>
      <c r="S35" s="126"/>
      <c r="T35" s="126"/>
      <c r="U35" s="189"/>
      <c r="V35" s="190"/>
      <c r="W35" s="191"/>
      <c r="X35" s="192"/>
      <c r="Y35" s="191"/>
    </row>
    <row r="36" customFormat="false" ht="15" hidden="false" customHeight="true" outlineLevel="0" collapsed="false">
      <c r="A36" s="120" t="n">
        <v>4</v>
      </c>
      <c r="B36" s="147"/>
      <c r="C36" s="25" t="s">
        <v>223</v>
      </c>
      <c r="D36" s="122"/>
      <c r="E36" s="122"/>
      <c r="F36" s="122"/>
      <c r="G36" s="122"/>
      <c r="H36" s="122"/>
      <c r="I36" s="122"/>
      <c r="J36" s="123" t="n">
        <f aca="false">(H37+H38+H39)/$L$17</f>
        <v>3.42586895260852</v>
      </c>
      <c r="K36" s="177"/>
      <c r="L36" s="125"/>
      <c r="M36" s="132"/>
      <c r="N36" s="132"/>
      <c r="O36" s="146" t="n">
        <v>-13.34</v>
      </c>
      <c r="P36" s="193"/>
      <c r="Q36" s="146" t="n">
        <v>-217.55</v>
      </c>
      <c r="R36" s="164"/>
      <c r="S36" s="126"/>
      <c r="T36" s="126"/>
      <c r="U36" s="118"/>
    </row>
    <row r="37" customFormat="false" ht="15" hidden="false" customHeight="true" outlineLevel="0" collapsed="false">
      <c r="A37" s="120"/>
      <c r="B37" s="121" t="s">
        <v>224</v>
      </c>
      <c r="C37" s="30" t="s">
        <v>41</v>
      </c>
      <c r="D37" s="127" t="n">
        <f aca="false">430597.75/1000</f>
        <v>430.59775</v>
      </c>
      <c r="E37" s="194" t="n">
        <v>0</v>
      </c>
      <c r="F37" s="194" t="n">
        <f aca="false">4313.99/1000</f>
        <v>4.31399</v>
      </c>
      <c r="G37" s="194" t="n">
        <f aca="false">51.49/1000</f>
        <v>0.05149</v>
      </c>
      <c r="H37" s="182" t="n">
        <f aca="false">SUM(D37:G37)</f>
        <v>434.96323</v>
      </c>
      <c r="I37" s="128" t="n">
        <f aca="false">104583.97/1000</f>
        <v>104.58397</v>
      </c>
      <c r="J37" s="165"/>
      <c r="K37" s="148"/>
      <c r="L37" s="125"/>
      <c r="M37" s="132"/>
      <c r="N37" s="132"/>
      <c r="O37" s="146" t="n">
        <v>-291.88</v>
      </c>
      <c r="P37" s="193"/>
      <c r="Q37" s="146" t="n">
        <v>-1306.75</v>
      </c>
      <c r="R37" s="164"/>
      <c r="S37" s="126"/>
      <c r="T37" s="126"/>
      <c r="U37" s="118"/>
    </row>
    <row r="38" customFormat="false" ht="15" hidden="false" customHeight="true" outlineLevel="0" collapsed="false">
      <c r="A38" s="120"/>
      <c r="B38" s="121"/>
      <c r="C38" s="38" t="s">
        <v>42</v>
      </c>
      <c r="D38" s="137" t="n">
        <v>-303.22303</v>
      </c>
      <c r="E38" s="137" t="n">
        <v>0</v>
      </c>
      <c r="F38" s="137" t="n">
        <v>-4.31399</v>
      </c>
      <c r="G38" s="137" t="n">
        <v>0</v>
      </c>
      <c r="H38" s="137" t="n">
        <f aca="false">SUM(D38:G38)</f>
        <v>-307.53702</v>
      </c>
      <c r="I38" s="195" t="n">
        <v>-64.81</v>
      </c>
      <c r="J38" s="123"/>
      <c r="K38" s="148"/>
      <c r="L38" s="125"/>
      <c r="M38" s="132"/>
      <c r="N38" s="132"/>
      <c r="O38" s="146" t="n">
        <v>-28.48</v>
      </c>
      <c r="P38" s="193"/>
      <c r="Q38" s="146" t="n">
        <v>-465.85</v>
      </c>
      <c r="R38" s="164"/>
      <c r="S38" s="117"/>
      <c r="T38" s="117"/>
      <c r="U38" s="118"/>
    </row>
    <row r="39" customFormat="false" ht="15.75" hidden="false" customHeight="true" outlineLevel="0" collapsed="false">
      <c r="A39" s="120"/>
      <c r="B39" s="121"/>
      <c r="C39" s="39" t="s">
        <v>43</v>
      </c>
      <c r="D39" s="196" t="n">
        <v>2353.474</v>
      </c>
      <c r="E39" s="197" t="n">
        <v>0</v>
      </c>
      <c r="F39" s="197" t="n">
        <v>1818.5352</v>
      </c>
      <c r="G39" s="197" t="n">
        <v>1.74306</v>
      </c>
      <c r="H39" s="196" t="n">
        <f aca="false">SUM(D39:G39)</f>
        <v>4173.75226</v>
      </c>
      <c r="I39" s="127" t="n">
        <v>498.3</v>
      </c>
      <c r="J39" s="123"/>
      <c r="K39" s="148"/>
      <c r="L39" s="125"/>
      <c r="M39" s="132"/>
      <c r="N39" s="132"/>
      <c r="O39" s="146" t="n">
        <v>-34.02</v>
      </c>
      <c r="P39" s="198"/>
      <c r="Q39" s="146" t="n">
        <v>-631.03</v>
      </c>
      <c r="R39" s="164"/>
      <c r="S39" s="126"/>
      <c r="T39" s="126"/>
    </row>
    <row r="40" customFormat="false" ht="17.25" hidden="false" customHeight="true" outlineLevel="0" collapsed="false">
      <c r="A40" s="120" t="n">
        <v>5</v>
      </c>
      <c r="B40" s="147"/>
      <c r="C40" s="25" t="s">
        <v>225</v>
      </c>
      <c r="D40" s="122"/>
      <c r="E40" s="122"/>
      <c r="F40" s="122"/>
      <c r="G40" s="122"/>
      <c r="H40" s="122"/>
      <c r="I40" s="122"/>
      <c r="J40" s="123" t="n">
        <f aca="false">(H41+H42+H43)/$L$17</f>
        <v>0.60540583831143</v>
      </c>
      <c r="K40" s="124"/>
      <c r="L40" s="125"/>
      <c r="M40" s="132"/>
      <c r="N40" s="132"/>
      <c r="O40" s="199" t="n">
        <v>-2460.8</v>
      </c>
      <c r="P40" s="200"/>
      <c r="Q40" s="199" t="n">
        <v>-2460.8</v>
      </c>
      <c r="S40" s="126"/>
      <c r="T40" s="126"/>
      <c r="U40" s="186"/>
    </row>
    <row r="41" customFormat="false" ht="13.5" hidden="false" customHeight="true" outlineLevel="0" collapsed="false">
      <c r="A41" s="120"/>
      <c r="B41" s="121" t="s">
        <v>226</v>
      </c>
      <c r="C41" s="30" t="s">
        <v>41</v>
      </c>
      <c r="D41" s="182" t="n">
        <v>0</v>
      </c>
      <c r="E41" s="182" t="n">
        <v>154.63</v>
      </c>
      <c r="F41" s="182" t="n">
        <v>75.5</v>
      </c>
      <c r="G41" s="182" t="n">
        <v>34.83</v>
      </c>
      <c r="H41" s="182" t="n">
        <f aca="false">SUM(D41:G41)</f>
        <v>264.96</v>
      </c>
      <c r="I41" s="182" t="n">
        <v>59.14</v>
      </c>
      <c r="J41" s="123"/>
      <c r="K41" s="148"/>
      <c r="L41" s="125" t="n">
        <v>1263.98</v>
      </c>
      <c r="S41" s="126"/>
      <c r="T41" s="126"/>
      <c r="U41" s="151"/>
    </row>
    <row r="42" customFormat="false" ht="13.5" hidden="false" customHeight="true" outlineLevel="0" collapsed="false">
      <c r="A42" s="120"/>
      <c r="B42" s="121"/>
      <c r="C42" s="38" t="s">
        <v>42</v>
      </c>
      <c r="D42" s="137" t="n">
        <v>0</v>
      </c>
      <c r="E42" s="137" t="n">
        <v>-148.36443</v>
      </c>
      <c r="F42" s="137" t="n">
        <v>-75.49927</v>
      </c>
      <c r="G42" s="137" t="n">
        <v>0</v>
      </c>
      <c r="H42" s="137" t="n">
        <f aca="false">SUM(D42:G42)</f>
        <v>-223.8637</v>
      </c>
      <c r="I42" s="137" t="n">
        <f aca="false">(41180.37/1000)*-1</f>
        <v>-41.18037</v>
      </c>
      <c r="J42" s="123"/>
      <c r="K42" s="148"/>
      <c r="L42" s="125" t="n">
        <v>414.99</v>
      </c>
      <c r="O42" s="129" t="n">
        <f aca="false">O43+O44+O45+O46</f>
        <v>0</v>
      </c>
      <c r="P42" s="129" t="n">
        <f aca="false">P43+P44+P45+P46</f>
        <v>0</v>
      </c>
      <c r="Q42" s="129" t="n">
        <v>63.48</v>
      </c>
      <c r="R42" s="129" t="n">
        <v>1570.01</v>
      </c>
      <c r="S42" s="126"/>
      <c r="T42" s="126"/>
      <c r="U42" s="151"/>
    </row>
    <row r="43" customFormat="false" ht="13.5" hidden="false" customHeight="true" outlineLevel="0" collapsed="false">
      <c r="A43" s="120"/>
      <c r="B43" s="121"/>
      <c r="C43" s="39" t="s">
        <v>43</v>
      </c>
      <c r="D43" s="197" t="n">
        <v>342.37428</v>
      </c>
      <c r="E43" s="197" t="n">
        <v>376.61645</v>
      </c>
      <c r="F43" s="197" t="n">
        <v>0</v>
      </c>
      <c r="G43" s="197" t="n">
        <v>0</v>
      </c>
      <c r="H43" s="197" t="n">
        <f aca="false">SUM(D43:G43)</f>
        <v>718.99073</v>
      </c>
      <c r="I43" s="197" t="n">
        <v>314.95</v>
      </c>
      <c r="J43" s="123"/>
      <c r="K43" s="148"/>
      <c r="L43" s="125" t="n">
        <v>848.99</v>
      </c>
      <c r="M43" s="125"/>
      <c r="N43" s="117"/>
      <c r="O43" s="125"/>
      <c r="P43" s="125"/>
      <c r="Q43" s="125" t="n">
        <v>41.22</v>
      </c>
      <c r="R43" s="125" t="n">
        <v>721.01</v>
      </c>
      <c r="S43" s="126"/>
      <c r="T43" s="126"/>
      <c r="U43" s="151"/>
    </row>
    <row r="44" customFormat="false" ht="13.5" hidden="false" customHeight="true" outlineLevel="0" collapsed="false">
      <c r="A44" s="120" t="n">
        <v>6</v>
      </c>
      <c r="B44" s="147"/>
      <c r="C44" s="25" t="s">
        <v>227</v>
      </c>
      <c r="D44" s="122"/>
      <c r="E44" s="122"/>
      <c r="F44" s="122"/>
      <c r="G44" s="122"/>
      <c r="H44" s="122"/>
      <c r="I44" s="122"/>
      <c r="J44" s="123" t="n">
        <f aca="false">(H45+H46+H47)/$L$17</f>
        <v>5.56368990043807</v>
      </c>
      <c r="K44" s="124"/>
      <c r="L44" s="125"/>
      <c r="M44" s="115"/>
      <c r="N44" s="126"/>
      <c r="O44" s="125"/>
      <c r="P44" s="125"/>
      <c r="Q44" s="125" t="n">
        <v>22.26</v>
      </c>
      <c r="R44" s="125" t="n">
        <v>849</v>
      </c>
      <c r="S44" s="106"/>
      <c r="T44" s="126"/>
      <c r="U44" s="151"/>
    </row>
    <row r="45" customFormat="false" ht="13.5" hidden="false" customHeight="true" outlineLevel="0" collapsed="false">
      <c r="A45" s="120"/>
      <c r="B45" s="121" t="s">
        <v>228</v>
      </c>
      <c r="C45" s="30" t="s">
        <v>41</v>
      </c>
      <c r="D45" s="182" t="n">
        <v>13.13</v>
      </c>
      <c r="E45" s="182" t="n">
        <v>65.11</v>
      </c>
      <c r="F45" s="182" t="n">
        <v>4908.43</v>
      </c>
      <c r="G45" s="165"/>
      <c r="H45" s="182" t="n">
        <f aca="false">SUM(D45:G45)</f>
        <v>4986.67</v>
      </c>
      <c r="I45" s="182" t="n">
        <v>32.75</v>
      </c>
      <c r="J45" s="123"/>
      <c r="K45" s="148"/>
      <c r="L45" s="125"/>
      <c r="M45" s="118"/>
      <c r="N45" s="126"/>
      <c r="O45" s="125"/>
      <c r="P45" s="125"/>
      <c r="Q45" s="125" t="n">
        <v>0</v>
      </c>
      <c r="R45" s="125" t="n">
        <v>0</v>
      </c>
      <c r="S45" s="106"/>
      <c r="T45" s="126"/>
      <c r="U45" s="151"/>
    </row>
    <row r="46" customFormat="false" ht="13.5" hidden="false" customHeight="true" outlineLevel="0" collapsed="false">
      <c r="A46" s="120"/>
      <c r="B46" s="121"/>
      <c r="C46" s="38" t="s">
        <v>42</v>
      </c>
      <c r="D46" s="137" t="n">
        <v>-4.49821</v>
      </c>
      <c r="E46" s="137" t="n">
        <v>-65.11005</v>
      </c>
      <c r="F46" s="137" t="n">
        <v>-4797.82204</v>
      </c>
      <c r="G46" s="137" t="n">
        <v>0</v>
      </c>
      <c r="H46" s="137" t="n">
        <f aca="false">SUM(D46:G46)</f>
        <v>-4867.4303</v>
      </c>
      <c r="I46" s="137" t="n">
        <f aca="false">(6032.68/1000)*-1</f>
        <v>-6.03268</v>
      </c>
      <c r="J46" s="123"/>
      <c r="K46" s="148"/>
      <c r="L46" s="125"/>
      <c r="M46" s="186"/>
      <c r="N46" s="126"/>
      <c r="O46" s="125"/>
      <c r="P46" s="125"/>
      <c r="Q46" s="125" t="n">
        <v>0</v>
      </c>
      <c r="R46" s="125" t="n">
        <v>0</v>
      </c>
      <c r="S46" s="201"/>
      <c r="T46" s="192"/>
      <c r="U46" s="191"/>
    </row>
    <row r="47" customFormat="false" ht="13.5" hidden="false" customHeight="true" outlineLevel="0" collapsed="false">
      <c r="A47" s="120"/>
      <c r="B47" s="114"/>
      <c r="C47" s="39" t="s">
        <v>43</v>
      </c>
      <c r="D47" s="127" t="n">
        <v>0</v>
      </c>
      <c r="E47" s="127" t="n">
        <v>168.43166</v>
      </c>
      <c r="F47" s="127" t="n">
        <v>6697.54131</v>
      </c>
      <c r="G47" s="127" t="n">
        <v>0</v>
      </c>
      <c r="H47" s="127" t="n">
        <f aca="false">SUM(D47:G47)</f>
        <v>6865.97297</v>
      </c>
      <c r="I47" s="128" t="n">
        <v>87.03</v>
      </c>
      <c r="J47" s="123"/>
      <c r="K47" s="125"/>
      <c r="L47" s="125"/>
      <c r="M47" s="151"/>
      <c r="N47" s="126"/>
      <c r="O47" s="125"/>
      <c r="P47" s="125"/>
      <c r="Q47" s="125" t="n">
        <v>5.72749</v>
      </c>
      <c r="R47" s="125" t="n">
        <v>314.95469</v>
      </c>
    </row>
    <row r="48" customFormat="false" ht="24.75" hidden="false" customHeight="true" outlineLevel="0" collapsed="false">
      <c r="A48" s="120" t="n">
        <v>7</v>
      </c>
      <c r="B48" s="147"/>
      <c r="C48" s="25" t="s">
        <v>229</v>
      </c>
      <c r="D48" s="128"/>
      <c r="E48" s="128"/>
      <c r="F48" s="128"/>
      <c r="G48" s="128"/>
      <c r="H48" s="128"/>
      <c r="I48" s="128"/>
      <c r="J48" s="123" t="n">
        <f aca="false">(H49+H50+H51)/$L$17</f>
        <v>2.55468693747511</v>
      </c>
      <c r="K48" s="124"/>
      <c r="L48" s="125"/>
      <c r="M48" s="151"/>
      <c r="N48" s="126"/>
      <c r="O48" s="42" t="n">
        <v>183.15</v>
      </c>
      <c r="P48" s="42" t="n">
        <v>3468.53</v>
      </c>
      <c r="Q48" s="46"/>
      <c r="S48" s="42"/>
      <c r="T48" s="42"/>
      <c r="V48" s="42"/>
      <c r="W48" s="42"/>
    </row>
    <row r="49" customFormat="false" ht="13.5" hidden="false" customHeight="true" outlineLevel="0" collapsed="false">
      <c r="A49" s="120"/>
      <c r="B49" s="121" t="s">
        <v>230</v>
      </c>
      <c r="C49" s="30" t="s">
        <v>41</v>
      </c>
      <c r="D49" s="182" t="n">
        <v>7.82</v>
      </c>
      <c r="E49" s="182" t="n">
        <v>17.46</v>
      </c>
      <c r="F49" s="182" t="n">
        <v>17.42</v>
      </c>
      <c r="G49" s="182" t="n">
        <v>1.49</v>
      </c>
      <c r="H49" s="182" t="n">
        <f aca="false">SUM(D49:G49)</f>
        <v>44.19</v>
      </c>
      <c r="I49" s="182" t="n">
        <v>9.48</v>
      </c>
      <c r="J49" s="123"/>
      <c r="K49" s="125"/>
      <c r="L49" s="125"/>
      <c r="M49" s="151"/>
      <c r="N49" s="202"/>
      <c r="O49" s="46" t="n">
        <v>29.29</v>
      </c>
      <c r="P49" s="46" t="n">
        <v>260.54</v>
      </c>
      <c r="Q49" s="46"/>
      <c r="S49" s="46"/>
      <c r="T49" s="46"/>
      <c r="V49" s="46"/>
      <c r="W49" s="46"/>
    </row>
    <row r="50" customFormat="false" ht="13.5" hidden="false" customHeight="true" outlineLevel="0" collapsed="false">
      <c r="A50" s="120"/>
      <c r="B50" s="114"/>
      <c r="C50" s="38" t="s">
        <v>42</v>
      </c>
      <c r="D50" s="137" t="n">
        <v>-7.81841</v>
      </c>
      <c r="E50" s="137" t="n">
        <v>-14.98643</v>
      </c>
      <c r="F50" s="137" t="n">
        <v>-17.42224</v>
      </c>
      <c r="G50" s="137" t="n">
        <v>-1.48668</v>
      </c>
      <c r="H50" s="137" t="n">
        <f aca="false">SUM(D50:G50)</f>
        <v>-41.71376</v>
      </c>
      <c r="I50" s="169" t="n">
        <f aca="false">8174.15
/1000*-1</f>
        <v>-8.17415</v>
      </c>
      <c r="J50" s="123"/>
      <c r="K50" s="125"/>
      <c r="L50" s="125"/>
      <c r="M50" s="151"/>
      <c r="N50" s="202"/>
      <c r="O50" s="46" t="n">
        <v>20.52</v>
      </c>
      <c r="P50" s="46" t="n">
        <v>828.46</v>
      </c>
      <c r="Q50" s="46"/>
      <c r="S50" s="46"/>
      <c r="T50" s="46"/>
      <c r="V50" s="46"/>
      <c r="W50" s="46"/>
    </row>
    <row r="51" customFormat="false" ht="13.5" hidden="false" customHeight="true" outlineLevel="0" collapsed="false">
      <c r="A51" s="120"/>
      <c r="B51" s="114"/>
      <c r="C51" s="39" t="s">
        <v>43</v>
      </c>
      <c r="D51" s="182" t="n">
        <v>187.14537</v>
      </c>
      <c r="E51" s="182" t="n">
        <v>637.16571</v>
      </c>
      <c r="F51" s="182" t="n">
        <v>2380.62213</v>
      </c>
      <c r="G51" s="182" t="n">
        <v>0</v>
      </c>
      <c r="H51" s="182" t="n">
        <f aca="false">SUM(D51:G51)</f>
        <v>3204.93321</v>
      </c>
      <c r="I51" s="182" t="n">
        <v>316.42</v>
      </c>
      <c r="J51" s="165"/>
      <c r="K51" s="125"/>
      <c r="L51" s="125"/>
      <c r="M51" s="151"/>
      <c r="N51" s="203"/>
      <c r="O51" s="46" t="n">
        <v>133.34</v>
      </c>
      <c r="P51" s="46" t="n">
        <v>2379.53</v>
      </c>
      <c r="Q51" s="46"/>
      <c r="S51" s="46"/>
      <c r="T51" s="46"/>
      <c r="V51" s="46"/>
      <c r="W51" s="46"/>
    </row>
    <row r="52" customFormat="false" ht="24.75" hidden="false" customHeight="true" outlineLevel="0" collapsed="false">
      <c r="A52" s="120" t="n">
        <v>8</v>
      </c>
      <c r="B52" s="147"/>
      <c r="C52" s="25" t="s">
        <v>231</v>
      </c>
      <c r="D52" s="128"/>
      <c r="E52" s="128"/>
      <c r="F52" s="128"/>
      <c r="G52" s="128"/>
      <c r="H52" s="128"/>
      <c r="I52" s="128"/>
      <c r="J52" s="123" t="n">
        <f aca="false">(H53+H54+H55)/$L$17</f>
        <v>3.90888970131422</v>
      </c>
      <c r="K52" s="124"/>
      <c r="L52" s="145" t="n">
        <v>-281.11</v>
      </c>
      <c r="M52" s="193"/>
      <c r="N52" s="42" t="n">
        <v>4761.06</v>
      </c>
      <c r="O52" s="46" t="n">
        <v>0</v>
      </c>
      <c r="P52" s="46" t="n">
        <v>0</v>
      </c>
      <c r="S52" s="117"/>
      <c r="T52" s="117"/>
      <c r="V52" s="46"/>
      <c r="W52" s="46"/>
    </row>
    <row r="53" customFormat="false" ht="17.25" hidden="false" customHeight="true" outlineLevel="0" collapsed="false">
      <c r="A53" s="120"/>
      <c r="B53" s="121" t="s">
        <v>232</v>
      </c>
      <c r="C53" s="30" t="s">
        <v>41</v>
      </c>
      <c r="D53" s="182" t="n">
        <v>36.03</v>
      </c>
      <c r="E53" s="182" t="n">
        <v>461.79</v>
      </c>
      <c r="F53" s="182" t="n">
        <v>424.4</v>
      </c>
      <c r="G53" s="182" t="n">
        <v>34.83</v>
      </c>
      <c r="H53" s="182" t="n">
        <f aca="false">SUM(D53:G53)</f>
        <v>957.05</v>
      </c>
      <c r="I53" s="182" t="n">
        <v>173.88</v>
      </c>
      <c r="J53" s="123"/>
      <c r="K53" s="129"/>
      <c r="L53" s="146" t="n">
        <v>-5.81</v>
      </c>
      <c r="M53" s="96"/>
      <c r="N53" s="46" t="n">
        <v>1091.05</v>
      </c>
      <c r="O53" s="46" t="n">
        <v>5.75407</v>
      </c>
      <c r="P53" s="46" t="n">
        <v>316.41633</v>
      </c>
      <c r="Q53" s="204"/>
      <c r="S53" s="126"/>
      <c r="T53" s="126"/>
      <c r="V53" s="46"/>
      <c r="W53" s="46"/>
    </row>
    <row r="54" customFormat="false" ht="17.25" hidden="false" customHeight="true" outlineLevel="0" collapsed="false">
      <c r="A54" s="120"/>
      <c r="B54" s="114"/>
      <c r="C54" s="38" t="s">
        <v>42</v>
      </c>
      <c r="D54" s="137" t="n">
        <v>-36.02532</v>
      </c>
      <c r="E54" s="137" t="n">
        <v>-312.11736</v>
      </c>
      <c r="F54" s="137" t="n">
        <v>-417.42021</v>
      </c>
      <c r="G54" s="137" t="n">
        <v>0</v>
      </c>
      <c r="H54" s="137" t="n">
        <f aca="false">SUM(D54:G54)</f>
        <v>-765.56289</v>
      </c>
      <c r="I54" s="137" t="n">
        <f aca="false">(92236.15
/1000)*-1</f>
        <v>-92.23615</v>
      </c>
      <c r="J54" s="123"/>
      <c r="K54" s="125"/>
      <c r="L54" s="146" t="n">
        <v>-48.54</v>
      </c>
      <c r="M54" s="193"/>
      <c r="N54" s="46" t="n">
        <v>2000.96</v>
      </c>
      <c r="O54" s="202"/>
      <c r="P54" s="151"/>
      <c r="Q54" s="204"/>
      <c r="S54" s="126"/>
      <c r="T54" s="126"/>
    </row>
    <row r="55" customFormat="false" ht="17.25" hidden="false" customHeight="true" outlineLevel="0" collapsed="false">
      <c r="A55" s="120"/>
      <c r="B55" s="114"/>
      <c r="C55" s="39" t="s">
        <v>43</v>
      </c>
      <c r="D55" s="182" t="n">
        <v>1086.87301</v>
      </c>
      <c r="E55" s="182" t="n">
        <v>1960.1983</v>
      </c>
      <c r="F55" s="182" t="n">
        <v>1669.0526</v>
      </c>
      <c r="G55" s="127" t="n">
        <v>0</v>
      </c>
      <c r="H55" s="182" t="n">
        <f aca="false">SUM(D55:G55)</f>
        <v>4716.12391</v>
      </c>
      <c r="I55" s="182" t="n">
        <v>763.01</v>
      </c>
      <c r="J55" s="123"/>
      <c r="K55" s="125"/>
      <c r="L55" s="146" t="n">
        <v>-226.75</v>
      </c>
      <c r="M55" s="193"/>
      <c r="N55" s="46" t="n">
        <v>1669.05</v>
      </c>
      <c r="O55" s="205" t="n">
        <v>621.42</v>
      </c>
      <c r="P55" s="205" t="n">
        <v>6954.86</v>
      </c>
      <c r="Q55" s="152" t="n">
        <f aca="false">SUM(Q56:Q59)</f>
        <v>-4812.03</v>
      </c>
      <c r="S55" s="126"/>
      <c r="T55" s="126"/>
    </row>
    <row r="56" customFormat="false" ht="17.25" hidden="false" customHeight="true" outlineLevel="0" collapsed="false">
      <c r="A56" s="120" t="n">
        <v>9</v>
      </c>
      <c r="B56" s="114"/>
      <c r="C56" s="25" t="s">
        <v>233</v>
      </c>
      <c r="D56" s="128"/>
      <c r="E56" s="128"/>
      <c r="F56" s="128"/>
      <c r="G56" s="128"/>
      <c r="H56" s="128"/>
      <c r="I56" s="128"/>
      <c r="J56" s="123" t="n">
        <f aca="false">(H57+H58+H59)/$L$17</f>
        <v>5.5165353564317</v>
      </c>
      <c r="K56" s="124"/>
      <c r="L56" s="146" t="n">
        <v>0</v>
      </c>
      <c r="M56" s="193"/>
      <c r="N56" s="46" t="n">
        <v>0</v>
      </c>
      <c r="O56" s="160" t="n">
        <v>0</v>
      </c>
      <c r="P56" s="160" t="n">
        <v>0</v>
      </c>
      <c r="Q56" s="153" t="n">
        <v>-2.88</v>
      </c>
      <c r="S56" s="126"/>
      <c r="T56" s="126"/>
    </row>
    <row r="57" customFormat="false" ht="17.25" hidden="false" customHeight="true" outlineLevel="0" collapsed="false">
      <c r="A57" s="120"/>
      <c r="B57" s="121" t="s">
        <v>234</v>
      </c>
      <c r="C57" s="30" t="s">
        <v>41</v>
      </c>
      <c r="D57" s="182" t="n">
        <v>10.89</v>
      </c>
      <c r="E57" s="182" t="n">
        <v>136.1</v>
      </c>
      <c r="F57" s="182" t="n">
        <v>615.46</v>
      </c>
      <c r="G57" s="182" t="n">
        <v>34.83</v>
      </c>
      <c r="H57" s="182" t="n">
        <f aca="false">SUM(D57:G57)</f>
        <v>797.28</v>
      </c>
      <c r="I57" s="182" t="n">
        <v>56.72</v>
      </c>
      <c r="J57" s="123"/>
      <c r="K57" s="125"/>
      <c r="L57" s="146" t="n">
        <v>-4.97</v>
      </c>
      <c r="M57" s="198"/>
      <c r="N57" s="46" t="n">
        <v>763.00716</v>
      </c>
      <c r="O57" s="160" t="n">
        <v>4.51</v>
      </c>
      <c r="P57" s="160" t="n">
        <v>212.49</v>
      </c>
      <c r="Q57" s="153" t="n">
        <v>-11.33</v>
      </c>
      <c r="S57" s="126"/>
      <c r="T57" s="126"/>
    </row>
    <row r="58" customFormat="false" ht="17.25" hidden="false" customHeight="true" outlineLevel="0" collapsed="false">
      <c r="A58" s="120"/>
      <c r="B58" s="114"/>
      <c r="C58" s="38" t="s">
        <v>42</v>
      </c>
      <c r="D58" s="137" t="n">
        <v>-10.89143</v>
      </c>
      <c r="E58" s="137" t="n">
        <v>-111.86591</v>
      </c>
      <c r="F58" s="137" t="n">
        <v>-615.46155</v>
      </c>
      <c r="G58" s="137" t="n">
        <v>-34.83095</v>
      </c>
      <c r="H58" s="137" t="n">
        <f aca="false">SUM(D58:G58)</f>
        <v>-773.04984</v>
      </c>
      <c r="I58" s="137" t="n">
        <f aca="false">(46270.88
/1000)*-1</f>
        <v>-46.27088</v>
      </c>
      <c r="J58" s="123"/>
      <c r="K58" s="125"/>
      <c r="L58" s="206" t="n">
        <v>-382.33</v>
      </c>
      <c r="M58" s="200"/>
      <c r="N58" s="199" t="n">
        <v>-382.33</v>
      </c>
      <c r="O58" s="160" t="n">
        <v>616.91</v>
      </c>
      <c r="P58" s="160" t="n">
        <v>6742.37</v>
      </c>
      <c r="Q58" s="153" t="n">
        <v>-4797.82</v>
      </c>
      <c r="T58" s="117"/>
    </row>
    <row r="59" customFormat="false" ht="15" hidden="false" customHeight="true" outlineLevel="0" collapsed="false">
      <c r="A59" s="120"/>
      <c r="B59" s="114"/>
      <c r="C59" s="39" t="s">
        <v>43</v>
      </c>
      <c r="D59" s="182" t="n">
        <v>1279.00512</v>
      </c>
      <c r="E59" s="182" t="n">
        <v>218.18474</v>
      </c>
      <c r="F59" s="182" t="n">
        <v>5404.59012</v>
      </c>
      <c r="G59" s="127" t="n">
        <v>0</v>
      </c>
      <c r="H59" s="182" t="n">
        <f aca="false">SUM(D59:G59)</f>
        <v>6901.77998</v>
      </c>
      <c r="I59" s="182" t="n">
        <v>130.54</v>
      </c>
      <c r="J59" s="123"/>
      <c r="K59" s="125"/>
      <c r="L59" s="125"/>
      <c r="M59" s="144"/>
      <c r="N59" s="125"/>
      <c r="O59" s="160" t="n">
        <v>0</v>
      </c>
      <c r="P59" s="160" t="n">
        <v>0</v>
      </c>
      <c r="Q59" s="153" t="n">
        <v>0</v>
      </c>
      <c r="T59" s="126"/>
    </row>
    <row r="60" customFormat="false" ht="15" hidden="false" customHeight="true" outlineLevel="0" collapsed="false">
      <c r="A60" s="120" t="n">
        <v>10</v>
      </c>
      <c r="B60" s="121" t="s">
        <v>235</v>
      </c>
      <c r="C60" s="25" t="s">
        <v>236</v>
      </c>
      <c r="D60" s="128"/>
      <c r="E60" s="128"/>
      <c r="F60" s="128"/>
      <c r="G60" s="128"/>
      <c r="H60" s="128"/>
      <c r="I60" s="128"/>
      <c r="J60" s="123" t="n">
        <f aca="false">(H61+H62+H63)/$L$17</f>
        <v>1.86815357228196</v>
      </c>
      <c r="K60" s="177"/>
      <c r="L60" s="125"/>
      <c r="M60" s="132"/>
      <c r="N60" s="125"/>
      <c r="O60" s="160" t="n">
        <v>1.5827</v>
      </c>
      <c r="P60" s="160" t="n">
        <v>87.03267</v>
      </c>
      <c r="Q60" s="153" t="n">
        <v>-6.03</v>
      </c>
      <c r="S60" s="117"/>
      <c r="T60" s="117"/>
      <c r="V60" s="42"/>
      <c r="W60" s="42"/>
    </row>
    <row r="61" customFormat="false" ht="15" hidden="false" customHeight="true" outlineLevel="0" collapsed="false">
      <c r="A61" s="120"/>
      <c r="B61" s="114"/>
      <c r="C61" s="30" t="s">
        <v>41</v>
      </c>
      <c r="D61" s="182" t="n">
        <v>139.82</v>
      </c>
      <c r="E61" s="182" t="n">
        <v>124.98</v>
      </c>
      <c r="F61" s="182" t="n">
        <v>503.6</v>
      </c>
      <c r="G61" s="182" t="n">
        <v>34.83</v>
      </c>
      <c r="H61" s="182" t="n">
        <f aca="false">SUM(D61:G61)</f>
        <v>803.23</v>
      </c>
      <c r="I61" s="182" t="n">
        <v>100.36</v>
      </c>
      <c r="J61" s="123"/>
      <c r="K61" s="125"/>
      <c r="L61" s="125"/>
      <c r="M61" s="132"/>
      <c r="N61" s="125"/>
      <c r="O61" s="126"/>
      <c r="P61" s="126"/>
      <c r="Q61" s="159" t="n">
        <v>-24.72</v>
      </c>
      <c r="S61" s="126"/>
      <c r="T61" s="126"/>
      <c r="V61" s="46"/>
      <c r="W61" s="46"/>
    </row>
    <row r="62" customFormat="false" ht="17.25" hidden="false" customHeight="true" outlineLevel="0" collapsed="false">
      <c r="A62" s="120"/>
      <c r="B62" s="114"/>
      <c r="C62" s="38" t="s">
        <v>42</v>
      </c>
      <c r="D62" s="137" t="n">
        <v>-139.82214</v>
      </c>
      <c r="E62" s="137" t="n">
        <v>-114.56808</v>
      </c>
      <c r="F62" s="137" t="n">
        <v>-503.60198</v>
      </c>
      <c r="G62" s="137" t="n">
        <v>-34.83095</v>
      </c>
      <c r="H62" s="137" t="n">
        <f aca="false">SUM(D62:G62)</f>
        <v>-792.82315</v>
      </c>
      <c r="I62" s="137" t="n">
        <f aca="false">(95724.47
/1000)*-1</f>
        <v>-95.72447</v>
      </c>
      <c r="J62" s="123"/>
      <c r="K62" s="125"/>
      <c r="L62" s="166" t="n">
        <v>192.29</v>
      </c>
      <c r="M62" s="166" t="n">
        <v>3097.48</v>
      </c>
      <c r="N62" s="207" t="n">
        <v>7173.12</v>
      </c>
      <c r="O62" s="126"/>
      <c r="P62" s="126"/>
      <c r="Q62" s="204"/>
      <c r="S62" s="126"/>
      <c r="T62" s="126"/>
      <c r="V62" s="46"/>
      <c r="W62" s="46"/>
    </row>
    <row r="63" customFormat="false" ht="17.25" hidden="false" customHeight="true" outlineLevel="0" collapsed="false">
      <c r="A63" s="120"/>
      <c r="B63" s="114"/>
      <c r="C63" s="39" t="s">
        <v>43</v>
      </c>
      <c r="D63" s="127" t="n">
        <v>771.97119</v>
      </c>
      <c r="E63" s="127" t="n">
        <v>788.29564</v>
      </c>
      <c r="F63" s="127" t="n">
        <v>774.79313</v>
      </c>
      <c r="G63" s="127" t="n">
        <v>0</v>
      </c>
      <c r="H63" s="127" t="n">
        <f aca="false">SUM(D63:G63)</f>
        <v>2335.05996</v>
      </c>
      <c r="I63" s="127" t="n">
        <v>443.96</v>
      </c>
      <c r="J63" s="123"/>
      <c r="K63" s="125"/>
      <c r="L63" s="167" t="n">
        <v>97.28</v>
      </c>
      <c r="M63" s="167" t="n">
        <v>1123.71</v>
      </c>
      <c r="N63" s="208" t="n">
        <v>1403.62</v>
      </c>
      <c r="O63" s="126"/>
      <c r="P63" s="126"/>
      <c r="Q63" s="204"/>
      <c r="S63" s="126"/>
      <c r="T63" s="126"/>
      <c r="V63" s="46"/>
      <c r="W63" s="46"/>
    </row>
    <row r="64" customFormat="false" ht="24.75" hidden="false" customHeight="true" outlineLevel="0" collapsed="false">
      <c r="A64" s="120" t="n">
        <v>11</v>
      </c>
      <c r="B64" s="114"/>
      <c r="C64" s="25" t="s">
        <v>237</v>
      </c>
      <c r="D64" s="128"/>
      <c r="E64" s="128"/>
      <c r="F64" s="128"/>
      <c r="G64" s="128"/>
      <c r="H64" s="128"/>
      <c r="I64" s="128"/>
      <c r="J64" s="123" t="n">
        <f aca="false">(H65+H66+H67)/$L$17</f>
        <v>3.11429709278418E-006</v>
      </c>
      <c r="K64" s="129"/>
      <c r="L64" s="167" t="n">
        <v>31.61</v>
      </c>
      <c r="M64" s="167" t="n">
        <v>1198.98</v>
      </c>
      <c r="N64" s="208" t="n">
        <v>347.03</v>
      </c>
      <c r="O64" s="126"/>
      <c r="P64" s="126"/>
      <c r="Q64" s="209"/>
      <c r="S64" s="126"/>
      <c r="T64" s="126"/>
      <c r="V64" s="46"/>
      <c r="W64" s="46"/>
    </row>
    <row r="65" customFormat="false" ht="17.25" hidden="false" customHeight="true" outlineLevel="0" collapsed="false">
      <c r="A65" s="120"/>
      <c r="B65" s="121" t="s">
        <v>238</v>
      </c>
      <c r="C65" s="30" t="s">
        <v>41</v>
      </c>
      <c r="D65" s="182" t="n">
        <v>22.14</v>
      </c>
      <c r="E65" s="182" t="n">
        <v>61.7</v>
      </c>
      <c r="F65" s="182" t="n">
        <v>55.77</v>
      </c>
      <c r="G65" s="182" t="n">
        <v>34.83</v>
      </c>
      <c r="H65" s="182" t="n">
        <f aca="false">SUM(D65:G65)</f>
        <v>174.44</v>
      </c>
      <c r="I65" s="182" t="n">
        <v>41.84</v>
      </c>
      <c r="J65" s="123"/>
      <c r="K65" s="125"/>
      <c r="L65" s="167" t="n">
        <v>63.4</v>
      </c>
      <c r="M65" s="167" t="n">
        <v>774.79</v>
      </c>
      <c r="N65" s="208" t="n">
        <v>5422.47</v>
      </c>
      <c r="O65" s="126"/>
      <c r="P65" s="126"/>
      <c r="Q65" s="210"/>
      <c r="R65" s="204"/>
      <c r="S65" s="126"/>
      <c r="T65" s="126"/>
      <c r="V65" s="46"/>
      <c r="W65" s="46"/>
    </row>
    <row r="66" customFormat="false" ht="17.25" hidden="false" customHeight="true" outlineLevel="0" collapsed="false">
      <c r="A66" s="120"/>
      <c r="B66" s="114"/>
      <c r="C66" s="38" t="s">
        <v>42</v>
      </c>
      <c r="D66" s="137" t="n">
        <v>-22.13528</v>
      </c>
      <c r="E66" s="137" t="n">
        <v>-61.70339</v>
      </c>
      <c r="F66" s="137" t="n">
        <v>-55.76647</v>
      </c>
      <c r="G66" s="137" t="n">
        <v>-34.83095</v>
      </c>
      <c r="H66" s="137" t="n">
        <f aca="false">SUM(D66:G66)</f>
        <v>-174.43609</v>
      </c>
      <c r="I66" s="137" t="n">
        <v>-41.84</v>
      </c>
      <c r="J66" s="123"/>
      <c r="K66" s="125"/>
      <c r="L66" s="167" t="n">
        <v>0</v>
      </c>
      <c r="M66" s="167" t="n">
        <v>0</v>
      </c>
      <c r="N66" s="208" t="n">
        <v>0</v>
      </c>
      <c r="O66" s="102"/>
      <c r="P66" s="132"/>
      <c r="Q66" s="210"/>
      <c r="R66" s="204"/>
    </row>
    <row r="67" customFormat="false" ht="17.25" hidden="false" customHeight="true" outlineLevel="0" collapsed="false">
      <c r="A67" s="120"/>
      <c r="B67" s="114"/>
      <c r="C67" s="39" t="s">
        <v>43</v>
      </c>
      <c r="D67" s="127" t="n">
        <v>0</v>
      </c>
      <c r="E67" s="127" t="n">
        <v>0</v>
      </c>
      <c r="F67" s="127" t="n">
        <v>0</v>
      </c>
      <c r="G67" s="127" t="n">
        <v>0</v>
      </c>
      <c r="H67" s="127" t="n">
        <f aca="false">SUM(D67:G67)</f>
        <v>0</v>
      </c>
      <c r="I67" s="128" t="n">
        <v>0</v>
      </c>
      <c r="J67" s="123"/>
      <c r="K67" s="125"/>
      <c r="L67" s="167" t="n">
        <v>8.2873</v>
      </c>
      <c r="M67" s="167" t="n">
        <v>443.95961</v>
      </c>
      <c r="N67" s="208" t="n">
        <v>130.53691</v>
      </c>
      <c r="O67" s="106"/>
      <c r="P67" s="132"/>
      <c r="Q67" s="210"/>
      <c r="R67" s="204"/>
    </row>
    <row r="68" customFormat="false" ht="15" hidden="false" customHeight="true" outlineLevel="0" collapsed="false">
      <c r="A68" s="120" t="n">
        <v>12</v>
      </c>
      <c r="B68" s="121"/>
      <c r="C68" s="25" t="s">
        <v>239</v>
      </c>
      <c r="D68" s="128"/>
      <c r="E68" s="128"/>
      <c r="F68" s="128"/>
      <c r="G68" s="128"/>
      <c r="H68" s="128"/>
      <c r="I68" s="128"/>
      <c r="J68" s="123" t="n">
        <f aca="false">(H69+H70+H71)/$L$17</f>
        <v>0.405822771804062</v>
      </c>
      <c r="K68" s="124"/>
      <c r="L68" s="125"/>
      <c r="M68" s="132"/>
      <c r="N68" s="106"/>
      <c r="O68" s="106"/>
      <c r="P68" s="132"/>
      <c r="Q68" s="210"/>
      <c r="R68" s="204"/>
    </row>
    <row r="69" customFormat="false" ht="15" hidden="false" customHeight="true" outlineLevel="0" collapsed="false">
      <c r="A69" s="120"/>
      <c r="B69" s="121" t="s">
        <v>240</v>
      </c>
      <c r="C69" s="30" t="s">
        <v>41</v>
      </c>
      <c r="D69" s="182" t="n">
        <v>278.38</v>
      </c>
      <c r="E69" s="182" t="n">
        <v>34.75</v>
      </c>
      <c r="F69" s="182" t="n">
        <v>30.42</v>
      </c>
      <c r="G69" s="165"/>
      <c r="H69" s="182" t="n">
        <f aca="false">SUM(D69:G69)</f>
        <v>343.55</v>
      </c>
      <c r="I69" s="182" t="n">
        <v>14.04</v>
      </c>
      <c r="J69" s="123"/>
      <c r="K69" s="125"/>
      <c r="L69" s="125"/>
      <c r="M69" s="144"/>
      <c r="N69" s="106"/>
      <c r="O69" s="106"/>
      <c r="P69" s="144"/>
      <c r="Q69" s="211"/>
      <c r="R69" s="209"/>
    </row>
    <row r="70" customFormat="false" ht="15" hidden="false" customHeight="true" outlineLevel="0" collapsed="false">
      <c r="A70" s="120"/>
      <c r="B70" s="114"/>
      <c r="C70" s="38" t="s">
        <v>42</v>
      </c>
      <c r="D70" s="137" t="n">
        <v>-195.32335</v>
      </c>
      <c r="E70" s="137" t="n">
        <v>-30.09165</v>
      </c>
      <c r="F70" s="137" t="n">
        <v>-27.6154</v>
      </c>
      <c r="G70" s="137" t="n">
        <v>0</v>
      </c>
      <c r="H70" s="137" t="n">
        <f aca="false">SUM(D70:G70)</f>
        <v>-253.0304</v>
      </c>
      <c r="I70" s="137" t="n">
        <f aca="false">(11200.12/1000)*-1</f>
        <v>-11.20012</v>
      </c>
      <c r="J70" s="123"/>
      <c r="K70" s="125"/>
      <c r="L70" s="125"/>
      <c r="M70" s="144"/>
      <c r="N70" s="106"/>
      <c r="O70" s="106"/>
      <c r="P70" s="144"/>
      <c r="Q70" s="211"/>
      <c r="R70" s="209"/>
      <c r="W70" s="117"/>
    </row>
    <row r="71" customFormat="false" ht="15" hidden="false" customHeight="true" outlineLevel="0" collapsed="false">
      <c r="A71" s="120"/>
      <c r="B71" s="114"/>
      <c r="C71" s="39" t="s">
        <v>43</v>
      </c>
      <c r="D71" s="182" t="n">
        <v>415.93887</v>
      </c>
      <c r="E71" s="182" t="n">
        <v>3.05202</v>
      </c>
      <c r="F71" s="182" t="n">
        <v>0</v>
      </c>
      <c r="G71" s="182" t="n">
        <v>0</v>
      </c>
      <c r="H71" s="182" t="n">
        <f aca="false">SUM(D71:G71)</f>
        <v>418.99089</v>
      </c>
      <c r="I71" s="182" t="n">
        <v>50.9</v>
      </c>
      <c r="J71" s="123"/>
      <c r="K71" s="125"/>
      <c r="L71" s="42" t="n">
        <v>929.69</v>
      </c>
      <c r="M71" s="42" t="n">
        <v>286.7</v>
      </c>
      <c r="N71" s="42" t="n">
        <v>2270.2</v>
      </c>
      <c r="O71" s="106"/>
      <c r="P71" s="144"/>
      <c r="Q71" s="211"/>
      <c r="R71" s="209"/>
      <c r="S71" s="117"/>
      <c r="T71" s="117"/>
      <c r="W71" s="126"/>
    </row>
    <row r="72" customFormat="false" ht="15" hidden="false" customHeight="true" outlineLevel="0" collapsed="false">
      <c r="A72" s="120" t="n">
        <v>13</v>
      </c>
      <c r="B72" s="114"/>
      <c r="C72" s="25" t="s">
        <v>241</v>
      </c>
      <c r="D72" s="127"/>
      <c r="E72" s="127"/>
      <c r="F72" s="127"/>
      <c r="G72" s="127"/>
      <c r="H72" s="127"/>
      <c r="I72" s="128"/>
      <c r="J72" s="123"/>
      <c r="K72" s="177"/>
      <c r="L72" s="46" t="n">
        <v>824.68</v>
      </c>
      <c r="M72" s="46" t="n">
        <v>0</v>
      </c>
      <c r="N72" s="46" t="n">
        <v>0</v>
      </c>
      <c r="O72" s="132"/>
      <c r="P72" s="132"/>
      <c r="Q72" s="210"/>
      <c r="R72" s="204"/>
      <c r="S72" s="126"/>
      <c r="T72" s="126"/>
      <c r="V72" s="42"/>
      <c r="W72" s="126"/>
    </row>
    <row r="73" s="1" customFormat="true" ht="15" hidden="false" customHeight="true" outlineLevel="0" collapsed="false">
      <c r="A73" s="120"/>
      <c r="C73" s="30" t="s">
        <v>41</v>
      </c>
      <c r="D73" s="127" t="n">
        <v>0</v>
      </c>
      <c r="E73" s="127" t="n">
        <v>0</v>
      </c>
      <c r="F73" s="127" t="n">
        <v>0</v>
      </c>
      <c r="G73" s="127" t="n">
        <v>0</v>
      </c>
      <c r="H73" s="127" t="n">
        <f aca="false">SUM(D73:G73)</f>
        <v>0</v>
      </c>
      <c r="I73" s="127" t="n">
        <v>0</v>
      </c>
      <c r="J73" s="123"/>
      <c r="K73" s="125"/>
      <c r="L73" s="46" t="n">
        <v>105.01</v>
      </c>
      <c r="M73" s="46" t="n">
        <v>0.06</v>
      </c>
      <c r="N73" s="46" t="n">
        <v>3.06</v>
      </c>
      <c r="O73" s="132"/>
      <c r="P73" s="132"/>
      <c r="Q73" s="210"/>
      <c r="R73" s="204"/>
      <c r="S73" s="126"/>
      <c r="T73" s="126"/>
      <c r="V73" s="46"/>
      <c r="W73" s="126"/>
    </row>
    <row r="74" customFormat="false" ht="15" hidden="false" customHeight="true" outlineLevel="0" collapsed="false">
      <c r="A74" s="120"/>
      <c r="B74" s="114"/>
      <c r="C74" s="38" t="s">
        <v>42</v>
      </c>
      <c r="D74" s="137" t="n">
        <v>0</v>
      </c>
      <c r="E74" s="137" t="n">
        <v>0</v>
      </c>
      <c r="F74" s="137" t="n">
        <v>0</v>
      </c>
      <c r="G74" s="137" t="n">
        <v>0</v>
      </c>
      <c r="H74" s="137" t="n">
        <f aca="false">SUM(D74:G74)</f>
        <v>0</v>
      </c>
      <c r="I74" s="127" t="n">
        <v>0</v>
      </c>
      <c r="J74" s="123"/>
      <c r="K74" s="125"/>
      <c r="L74" s="46" t="n">
        <v>0</v>
      </c>
      <c r="M74" s="46" t="n">
        <v>286.64</v>
      </c>
      <c r="N74" s="46" t="n">
        <v>2267.14</v>
      </c>
      <c r="O74" s="132"/>
      <c r="P74" s="132"/>
      <c r="Q74" s="210"/>
      <c r="R74" s="204"/>
      <c r="S74" s="126"/>
      <c r="T74" s="126"/>
      <c r="V74" s="46"/>
      <c r="W74" s="126"/>
    </row>
    <row r="75" customFormat="false" ht="15" hidden="false" customHeight="true" outlineLevel="0" collapsed="false">
      <c r="A75" s="120"/>
      <c r="B75" s="121" t="s">
        <v>242</v>
      </c>
      <c r="C75" s="39" t="s">
        <v>43</v>
      </c>
      <c r="D75" s="127" t="n">
        <v>0</v>
      </c>
      <c r="E75" s="127" t="n">
        <v>3.06451</v>
      </c>
      <c r="F75" s="127" t="n">
        <v>2267.14227</v>
      </c>
      <c r="G75" s="127" t="n">
        <v>0</v>
      </c>
      <c r="H75" s="127" t="n">
        <f aca="false">SUM(D75:G75)</f>
        <v>2270.20678</v>
      </c>
      <c r="I75" s="127" t="n">
        <v>1.3</v>
      </c>
      <c r="J75" s="123"/>
      <c r="K75" s="125"/>
      <c r="L75" s="46" t="n">
        <v>0</v>
      </c>
      <c r="M75" s="46" t="n">
        <v>0</v>
      </c>
      <c r="N75" s="46" t="n">
        <v>0</v>
      </c>
      <c r="O75" s="132"/>
      <c r="P75" s="132"/>
      <c r="Q75" s="210"/>
      <c r="R75" s="204"/>
      <c r="S75" s="126"/>
      <c r="T75" s="126"/>
      <c r="V75" s="46"/>
      <c r="W75" s="126"/>
    </row>
    <row r="76" customFormat="false" ht="15" hidden="false" customHeight="true" outlineLevel="0" collapsed="false">
      <c r="A76" s="120" t="n">
        <v>14</v>
      </c>
      <c r="B76" s="114"/>
      <c r="C76" s="25" t="s">
        <v>243</v>
      </c>
      <c r="D76" s="127"/>
      <c r="E76" s="127"/>
      <c r="F76" s="127"/>
      <c r="G76" s="127"/>
      <c r="H76" s="127"/>
      <c r="I76" s="128"/>
      <c r="J76" s="123" t="n">
        <f aca="false">(H77+H78+H79)/$L$17</f>
        <v>2.58752007168459</v>
      </c>
      <c r="K76" s="125"/>
      <c r="L76" s="46" t="n">
        <v>50.90032</v>
      </c>
      <c r="M76" s="46" t="n">
        <v>0.02358</v>
      </c>
      <c r="N76" s="46" t="n">
        <v>1.29666</v>
      </c>
      <c r="O76" s="144"/>
      <c r="P76" s="144"/>
      <c r="Q76" s="211"/>
      <c r="R76" s="209"/>
      <c r="S76" s="126"/>
      <c r="T76" s="126"/>
      <c r="V76" s="46"/>
      <c r="W76" s="46"/>
    </row>
    <row r="77" customFormat="false" ht="13.5" hidden="false" customHeight="true" outlineLevel="0" collapsed="false">
      <c r="A77" s="120"/>
      <c r="B77" s="114"/>
      <c r="C77" s="30" t="s">
        <v>41</v>
      </c>
      <c r="D77" s="127" t="n">
        <v>0</v>
      </c>
      <c r="E77" s="127" t="n">
        <v>0</v>
      </c>
      <c r="F77" s="127" t="n">
        <v>0</v>
      </c>
      <c r="G77" s="127" t="n">
        <v>0</v>
      </c>
      <c r="H77" s="127" t="n">
        <f aca="false">SUM(D77:G77)</f>
        <v>0</v>
      </c>
      <c r="I77" s="127" t="n">
        <v>0</v>
      </c>
      <c r="J77" s="123"/>
      <c r="K77" s="125"/>
      <c r="L77" s="46"/>
      <c r="M77" s="106"/>
      <c r="N77" s="106"/>
      <c r="V77" s="46"/>
      <c r="W77" s="46"/>
    </row>
    <row r="78" customFormat="false" ht="13.5" hidden="false" customHeight="true" outlineLevel="0" collapsed="false">
      <c r="A78" s="120"/>
      <c r="B78" s="114"/>
      <c r="C78" s="38" t="s">
        <v>42</v>
      </c>
      <c r="D78" s="127" t="n">
        <v>0</v>
      </c>
      <c r="E78" s="137" t="n">
        <v>0</v>
      </c>
      <c r="F78" s="137" t="n">
        <v>0</v>
      </c>
      <c r="G78" s="137" t="n">
        <v>0</v>
      </c>
      <c r="H78" s="137" t="n">
        <f aca="false">SUM(D78:G78)</f>
        <v>0</v>
      </c>
      <c r="I78" s="137" t="n">
        <v>0</v>
      </c>
      <c r="J78" s="123"/>
      <c r="K78" s="125"/>
      <c r="L78" s="125"/>
      <c r="M78" s="106"/>
      <c r="N78" s="106"/>
    </row>
    <row r="79" customFormat="false" ht="13.5" hidden="false" customHeight="true" outlineLevel="0" collapsed="false">
      <c r="A79" s="120"/>
      <c r="B79" s="121" t="s">
        <v>244</v>
      </c>
      <c r="C79" s="39" t="s">
        <v>43</v>
      </c>
      <c r="D79" s="127" t="n">
        <v>0.2825</v>
      </c>
      <c r="E79" s="127" t="n">
        <v>1438.87411</v>
      </c>
      <c r="F79" s="127" t="n">
        <v>1809.47484</v>
      </c>
      <c r="G79" s="127" t="n">
        <v>0</v>
      </c>
      <c r="H79" s="127" t="n">
        <f aca="false">SUM(D79:G79)</f>
        <v>3248.63145</v>
      </c>
      <c r="I79" s="128" t="n">
        <v>607.84</v>
      </c>
      <c r="J79" s="123"/>
      <c r="K79" s="124"/>
      <c r="L79" s="42" t="n">
        <v>268.88</v>
      </c>
      <c r="M79" s="42"/>
      <c r="N79" s="106"/>
      <c r="S79" s="117"/>
      <c r="T79" s="117"/>
    </row>
    <row r="80" customFormat="false" ht="13.5" hidden="false" customHeight="true" outlineLevel="0" collapsed="false">
      <c r="A80" s="170"/>
      <c r="B80" s="171"/>
      <c r="C80" s="25" t="s">
        <v>245</v>
      </c>
      <c r="D80" s="172" t="n">
        <f aca="false">D81+D82+D83</f>
        <v>78160.49987</v>
      </c>
      <c r="E80" s="172" t="n">
        <f aca="false">E81+E82+E83</f>
        <v>15227.09131</v>
      </c>
      <c r="F80" s="172" t="n">
        <f aca="false">F81+F82+F83</f>
        <v>27360.42843</v>
      </c>
      <c r="G80" s="172" t="n">
        <f aca="false">G81+G82+G83</f>
        <v>120.08296</v>
      </c>
      <c r="H80" s="172" t="n">
        <f aca="false">H81+H82+H83</f>
        <v>120868.10257</v>
      </c>
      <c r="I80" s="172" t="n">
        <f aca="false">I81+I82+I83</f>
        <v>26008.02515</v>
      </c>
      <c r="J80" s="212"/>
      <c r="K80" s="125"/>
      <c r="L80" s="46" t="n">
        <v>0.03</v>
      </c>
      <c r="M80" s="46" t="n">
        <v>0.28</v>
      </c>
      <c r="N80" s="106"/>
      <c r="S80" s="126"/>
      <c r="T80" s="126"/>
    </row>
    <row r="81" customFormat="false" ht="13.5" hidden="false" customHeight="true" outlineLevel="0" collapsed="false">
      <c r="A81" s="173"/>
      <c r="B81" s="173"/>
      <c r="C81" s="30" t="s">
        <v>41</v>
      </c>
      <c r="D81" s="174" t="n">
        <f aca="false">D25+D29+D33+D37+D41+D45+D49+D53+D57+D61+D65+D69+D73+D77</f>
        <v>12142.02775</v>
      </c>
      <c r="E81" s="174" t="n">
        <f aca="false">E25+E29+E33+E37+E41+E45+E49+E53+E57+E61+E65+E69+E73+E77</f>
        <v>3027.39</v>
      </c>
      <c r="F81" s="174" t="n">
        <f aca="false">F25+F29+F33+F37+F41+F45+F49+F53+F57+F61+F65+F69+F73+F77</f>
        <v>8148.86399</v>
      </c>
      <c r="G81" s="174" t="n">
        <f aca="false">G25+G29+G33+G37+G41+G45+G49+G53+G57+G61+G65+G69+G73+G77</f>
        <v>725.00149</v>
      </c>
      <c r="H81" s="174" t="n">
        <f aca="false">H25+H29+H33+H37+H41+H45+H49+H53+H57+H61+H65+H69+H73+H77</f>
        <v>24043.28323</v>
      </c>
      <c r="I81" s="174" t="n">
        <f aca="false">I25+I29+I33+I37+I41+I45+I49+I53+I57+I61+I65+I69+I77</f>
        <v>3525.87397</v>
      </c>
      <c r="J81" s="175"/>
      <c r="K81" s="125"/>
      <c r="L81" s="46" t="n">
        <v>28.87</v>
      </c>
      <c r="M81" s="46" t="n">
        <v>1486.74</v>
      </c>
      <c r="N81" s="106"/>
      <c r="S81" s="126"/>
      <c r="T81" s="126"/>
    </row>
    <row r="82" customFormat="false" ht="13.5" hidden="false" customHeight="true" outlineLevel="0" collapsed="false">
      <c r="A82" s="173"/>
      <c r="B82" s="173"/>
      <c r="C82" s="38" t="s">
        <v>42</v>
      </c>
      <c r="D82" s="176" t="n">
        <f aca="false">D26+D30+D34+D38+D42+D46+D50+D54+D58+D62+D66+D70+D74+D78</f>
        <v>-6398.3677</v>
      </c>
      <c r="E82" s="176" t="n">
        <f aca="false">E26+E30+E34+E38+E42+E46+E50+E54+E58+E62+E66+E70+E74+E78</f>
        <v>-2013.81549</v>
      </c>
      <c r="F82" s="176" t="n">
        <f aca="false">F26+F30+F34+F38+F42+F46+F50+F54+F58+F62+F66+F70+F74+F78</f>
        <v>-8028.47376</v>
      </c>
      <c r="G82" s="176" t="n">
        <f aca="false">G26+G30+G34+G38+G42+G46+G50+G54+G58+G62+G66+G70+G74+G78</f>
        <v>-606.66159</v>
      </c>
      <c r="H82" s="176" t="n">
        <f aca="false">H26+H30+H34+H38+H42+H46+H50+H54+H58+H62+H66+H70+H74+H78</f>
        <v>-17047.31854</v>
      </c>
      <c r="I82" s="176" t="n">
        <f aca="false">I26+I30+I34+I38+I42+I46+I50+I54+I58+I62+I66+I70+I78</f>
        <v>-1883.37882</v>
      </c>
      <c r="J82" s="175"/>
      <c r="K82" s="125"/>
      <c r="L82" s="46" t="n">
        <v>239.98</v>
      </c>
      <c r="M82" s="46" t="n">
        <v>1809.47</v>
      </c>
      <c r="N82" s="106"/>
      <c r="S82" s="126"/>
      <c r="T82" s="126"/>
    </row>
    <row r="83" customFormat="false" ht="13.5" hidden="false" customHeight="true" outlineLevel="0" collapsed="false">
      <c r="A83" s="173"/>
      <c r="B83" s="173"/>
      <c r="C83" s="39" t="s">
        <v>43</v>
      </c>
      <c r="D83" s="174" t="n">
        <f aca="false">D27+D31+D35+D39+D43+D47+D51+D55+D59+D63+D67+D71+D75+D79</f>
        <v>72416.83982</v>
      </c>
      <c r="E83" s="174" t="n">
        <f aca="false">E27+E31+E35+E39+E43+E47+E51+E55+E59+E63+E67+E71+E75+E79</f>
        <v>14213.5168</v>
      </c>
      <c r="F83" s="174" t="n">
        <f aca="false">F27+F31+F35+F39+F43+F47+F51+F55+F59+F63+F67+F71+F75+F79</f>
        <v>27240.0382</v>
      </c>
      <c r="G83" s="174" t="n">
        <f aca="false">G27+G31+G35+G39+G43+G47+G51+G55+G59+G63+G67+G71+G75+G79</f>
        <v>1.74306</v>
      </c>
      <c r="H83" s="174" t="n">
        <f aca="false">H27+H31+H35+H39+H43+H47+H51+H55+H59+H63+H67+H71+H75+H79</f>
        <v>113872.13788</v>
      </c>
      <c r="I83" s="174" t="n">
        <f aca="false">I27+I31+I35+I39+I43+I47+I51+I55+I59+I63+I67+I71+I75+I79</f>
        <v>24365.53</v>
      </c>
      <c r="J83" s="175"/>
      <c r="K83" s="125"/>
      <c r="L83" s="46" t="n">
        <v>0</v>
      </c>
      <c r="M83" s="46" t="n">
        <v>0</v>
      </c>
      <c r="S83" s="126"/>
      <c r="T83" s="126"/>
    </row>
    <row r="84" s="1" customFormat="true" ht="13.5" hidden="false" customHeight="true" outlineLevel="0" collapsed="false">
      <c r="K84" s="125"/>
      <c r="L84" s="46" t="n">
        <v>11.05373</v>
      </c>
      <c r="M84" s="46" t="n">
        <v>607.84462</v>
      </c>
      <c r="S84" s="126"/>
      <c r="T84" s="126"/>
    </row>
    <row r="85" s="1" customFormat="true" ht="12.75" hidden="false" customHeight="true" outlineLevel="0" collapsed="false"/>
    <row r="86" customFormat="false" ht="12.75" hidden="false" customHeight="true" outlineLevel="0" collapsed="false">
      <c r="A86" s="83"/>
      <c r="B86" s="84"/>
      <c r="C86" s="84"/>
      <c r="D86" s="80"/>
      <c r="E86" s="80"/>
      <c r="F86" s="80"/>
      <c r="G86" s="80"/>
      <c r="H86" s="80"/>
    </row>
    <row r="87" customFormat="false" ht="12.75" hidden="false" customHeight="true" outlineLevel="0" collapsed="false">
      <c r="A87" s="83"/>
      <c r="B87" s="84"/>
      <c r="C87" s="84"/>
      <c r="D87" s="80"/>
      <c r="E87" s="80"/>
      <c r="F87" s="80"/>
      <c r="G87" s="80"/>
      <c r="H87" s="80"/>
    </row>
    <row r="88" customFormat="false" ht="12.75" hidden="false" customHeight="true" outlineLevel="0" collapsed="false">
      <c r="A88" s="79" t="s">
        <v>170</v>
      </c>
      <c r="B88" s="79"/>
      <c r="C88" s="79"/>
      <c r="D88" s="80"/>
      <c r="E88" s="80"/>
      <c r="F88" s="80"/>
      <c r="G88" s="80"/>
      <c r="H88" s="80"/>
    </row>
    <row r="89" customFormat="false" ht="12.75" hidden="false" customHeight="true" outlineLevel="0" collapsed="false">
      <c r="A89" s="81" t="s">
        <v>171</v>
      </c>
      <c r="B89" s="81"/>
      <c r="C89" s="81"/>
      <c r="D89" s="81"/>
      <c r="E89" s="81"/>
      <c r="F89" s="81"/>
      <c r="G89" s="81"/>
      <c r="H89" s="81"/>
    </row>
    <row r="90" customFormat="false" ht="12.75" hidden="false" customHeight="true" outlineLevel="0" collapsed="false">
      <c r="A90" s="82" t="s">
        <v>168</v>
      </c>
      <c r="B90" s="82"/>
      <c r="C90" s="82"/>
      <c r="D90" s="82"/>
      <c r="E90" s="82"/>
      <c r="F90" s="82"/>
      <c r="G90" s="82"/>
      <c r="H90" s="82"/>
    </row>
    <row r="91" customFormat="false" ht="12.75" hidden="false" customHeight="true" outlineLevel="0" collapsed="false">
      <c r="A91" s="83"/>
      <c r="B91" s="84"/>
      <c r="C91" s="84"/>
      <c r="D91" s="80"/>
      <c r="E91" s="80"/>
      <c r="F91" s="80"/>
      <c r="G91" s="80"/>
      <c r="H91" s="80"/>
    </row>
    <row r="92" customFormat="false" ht="12.75" hidden="false" customHeight="true" outlineLevel="0" collapsed="false">
      <c r="A92" s="79" t="s">
        <v>172</v>
      </c>
      <c r="B92" s="79"/>
      <c r="C92" s="84"/>
      <c r="D92" s="80"/>
      <c r="E92" s="80"/>
      <c r="F92" s="80"/>
      <c r="G92" s="80"/>
      <c r="H92" s="80"/>
    </row>
    <row r="93" customFormat="false" ht="12.75" hidden="false" customHeight="true" outlineLevel="0" collapsed="false">
      <c r="A93" s="81" t="s">
        <v>173</v>
      </c>
      <c r="B93" s="81"/>
      <c r="C93" s="81"/>
      <c r="D93" s="81"/>
      <c r="E93" s="81"/>
      <c r="F93" s="81"/>
      <c r="G93" s="81"/>
      <c r="H93" s="81"/>
    </row>
    <row r="94" customFormat="false" ht="12.75" hidden="false" customHeight="true" outlineLevel="0" collapsed="false">
      <c r="A94" s="82" t="s">
        <v>168</v>
      </c>
      <c r="B94" s="82"/>
      <c r="C94" s="82"/>
      <c r="D94" s="82"/>
      <c r="E94" s="82"/>
      <c r="F94" s="82"/>
      <c r="G94" s="82"/>
      <c r="H94" s="82"/>
    </row>
    <row r="95" customFormat="false" ht="12.75" hidden="false" customHeight="true" outlineLevel="0" collapsed="false">
      <c r="A95" s="83"/>
      <c r="B95" s="84"/>
      <c r="C95" s="84"/>
      <c r="D95" s="80"/>
      <c r="E95" s="80"/>
      <c r="F95" s="80"/>
      <c r="G95" s="80"/>
      <c r="H95" s="80"/>
    </row>
    <row r="96" customFormat="false" ht="12.75" hidden="false" customHeight="true" outlineLevel="0" collapsed="false">
      <c r="A96" s="79" t="s">
        <v>246</v>
      </c>
      <c r="B96" s="79"/>
      <c r="C96" s="84"/>
      <c r="D96" s="80"/>
      <c r="E96" s="80"/>
      <c r="F96" s="80"/>
      <c r="G96" s="80"/>
      <c r="H96" s="80"/>
    </row>
    <row r="97" customFormat="false" ht="12.75" hidden="false" customHeight="true" outlineLevel="0" collapsed="false">
      <c r="A97" s="81" t="s">
        <v>247</v>
      </c>
      <c r="B97" s="81"/>
      <c r="C97" s="81"/>
      <c r="D97" s="81"/>
      <c r="E97" s="81"/>
      <c r="F97" s="81"/>
      <c r="G97" s="81"/>
      <c r="H97" s="81"/>
    </row>
    <row r="98" customFormat="false" ht="12.75" hidden="false" customHeight="true" outlineLevel="0" collapsed="false">
      <c r="A98" s="82" t="s">
        <v>168</v>
      </c>
      <c r="B98" s="82"/>
      <c r="C98" s="82"/>
      <c r="D98" s="82"/>
      <c r="E98" s="82"/>
      <c r="F98" s="82"/>
      <c r="G98" s="82"/>
      <c r="H98" s="82"/>
    </row>
    <row r="99" customFormat="false" ht="12.75" hidden="false" customHeight="true" outlineLevel="0" collapsed="false">
      <c r="A99" s="83"/>
      <c r="B99" s="84"/>
      <c r="C99" s="84"/>
      <c r="D99" s="80"/>
      <c r="E99" s="80"/>
      <c r="F99" s="80"/>
      <c r="G99" s="80"/>
      <c r="H99" s="80"/>
    </row>
    <row r="100" customFormat="false" ht="12.75" hidden="false" customHeight="true" outlineLevel="0" collapsed="false">
      <c r="A100" s="79" t="s">
        <v>248</v>
      </c>
      <c r="B100" s="79"/>
      <c r="C100" s="84"/>
      <c r="D100" s="80"/>
      <c r="E100" s="80"/>
      <c r="F100" s="80"/>
      <c r="G100" s="80"/>
      <c r="H100" s="80"/>
    </row>
    <row r="101" customFormat="false" ht="12.75" hidden="false" customHeight="true" outlineLevel="0" collapsed="false">
      <c r="A101" s="81" t="s">
        <v>249</v>
      </c>
      <c r="B101" s="81"/>
      <c r="C101" s="81"/>
      <c r="D101" s="81"/>
      <c r="E101" s="81"/>
      <c r="F101" s="81"/>
      <c r="G101" s="81"/>
      <c r="H101" s="81"/>
    </row>
    <row r="102" customFormat="false" ht="12.75" hidden="false" customHeight="true" outlineLevel="0" collapsed="false">
      <c r="A102" s="82" t="s">
        <v>168</v>
      </c>
      <c r="B102" s="82"/>
      <c r="C102" s="82"/>
      <c r="D102" s="82"/>
      <c r="E102" s="82"/>
      <c r="F102" s="82"/>
      <c r="G102" s="82"/>
      <c r="H102" s="82"/>
    </row>
  </sheetData>
  <mergeCells count="33">
    <mergeCell ref="A1:D1"/>
    <mergeCell ref="B4:I4"/>
    <mergeCell ref="B5:I5"/>
    <mergeCell ref="A8:C8"/>
    <mergeCell ref="D8:I8"/>
    <mergeCell ref="D9:I9"/>
    <mergeCell ref="A11:C11"/>
    <mergeCell ref="D11:I11"/>
    <mergeCell ref="A13:C13"/>
    <mergeCell ref="A15:C15"/>
    <mergeCell ref="A17:C17"/>
    <mergeCell ref="A19:J19"/>
    <mergeCell ref="T19:V19"/>
    <mergeCell ref="T20:V20"/>
    <mergeCell ref="A21:A22"/>
    <mergeCell ref="B21:B22"/>
    <mergeCell ref="C21:C22"/>
    <mergeCell ref="D21:H21"/>
    <mergeCell ref="I21:I22"/>
    <mergeCell ref="J21:J22"/>
    <mergeCell ref="T21:V21"/>
    <mergeCell ref="T22:V22"/>
    <mergeCell ref="T23:V23"/>
    <mergeCell ref="T24:V24"/>
    <mergeCell ref="K29:N29"/>
    <mergeCell ref="A89:H89"/>
    <mergeCell ref="A90:H90"/>
    <mergeCell ref="A93:H93"/>
    <mergeCell ref="A94:H94"/>
    <mergeCell ref="A97:H97"/>
    <mergeCell ref="A98:H98"/>
    <mergeCell ref="A101:H101"/>
    <mergeCell ref="A102:H102"/>
  </mergeCells>
  <printOptions headings="false" gridLines="false" gridLinesSet="true" horizontalCentered="false" verticalCentered="false"/>
  <pageMargins left="0.354166666666667" right="0.354166666666667" top="0.354166666666667" bottom="0.354166666666667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D66"/>
  <sheetViews>
    <sheetView showFormulas="false" showGridLines="true" showRowColHeaders="true" showZeros="true" rightToLeft="false" tabSelected="false" showOutlineSymbols="true" defaultGridColor="true" view="pageBreakPreview" topLeftCell="A1" colorId="64" zoomScale="70" zoomScaleNormal="85" zoomScalePageLayoutView="7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86" width="5.71"/>
    <col collapsed="false" customWidth="true" hidden="false" outlineLevel="0" max="2" min="2" style="86" width="11.57"/>
    <col collapsed="false" customWidth="true" hidden="false" outlineLevel="0" max="3" min="3" style="86" width="40.71"/>
    <col collapsed="false" customWidth="true" hidden="false" outlineLevel="0" max="10" min="4" style="86" width="12.71"/>
    <col collapsed="false" customWidth="false" hidden="false" outlineLevel="0" max="11" min="11" style="1" width="9.14"/>
    <col collapsed="false" customWidth="true" hidden="false" outlineLevel="0" max="12" min="12" style="1" width="12.15"/>
    <col collapsed="false" customWidth="true" hidden="false" outlineLevel="0" max="13" min="13" style="1" width="16"/>
    <col collapsed="false" customWidth="true" hidden="false" outlineLevel="0" max="14" min="14" style="1" width="13.57"/>
    <col collapsed="false" customWidth="false" hidden="false" outlineLevel="0" max="16" min="15" style="1" width="9.14"/>
    <col collapsed="false" customWidth="true" hidden="false" outlineLevel="0" max="17" min="17" style="1" width="13.57"/>
    <col collapsed="false" customWidth="false" hidden="false" outlineLevel="0" max="18" min="18" style="1" width="9.14"/>
    <col collapsed="false" customWidth="true" hidden="false" outlineLevel="0" max="19" min="19" style="1" width="14.86"/>
    <col collapsed="false" customWidth="false" hidden="false" outlineLevel="0" max="16384" min="20" style="1" width="9.14"/>
  </cols>
  <sheetData>
    <row r="1" customFormat="false" ht="12.75" hidden="false" customHeight="true" outlineLevel="0" collapsed="false">
      <c r="A1" s="87"/>
      <c r="B1" s="87"/>
      <c r="C1" s="87"/>
      <c r="D1" s="87"/>
    </row>
    <row r="2" customFormat="false" ht="13.5" hidden="false" customHeight="true" outlineLevel="0" collapsed="false">
      <c r="A2" s="88"/>
      <c r="B2" s="88"/>
      <c r="C2" s="88"/>
      <c r="D2" s="88"/>
      <c r="E2" s="88"/>
      <c r="F2" s="88"/>
      <c r="G2" s="88"/>
      <c r="H2" s="88"/>
      <c r="I2" s="89"/>
      <c r="J2" s="90" t="s">
        <v>196</v>
      </c>
    </row>
    <row r="3" customFormat="false" ht="13.5" hidden="false" customHeight="true" outlineLevel="0" collapsed="false">
      <c r="A3" s="91"/>
      <c r="B3" s="89"/>
      <c r="C3" s="89"/>
      <c r="D3" s="89"/>
      <c r="E3" s="89"/>
      <c r="F3" s="89"/>
      <c r="G3" s="89"/>
      <c r="H3" s="89"/>
      <c r="I3" s="89"/>
      <c r="J3" s="89"/>
    </row>
    <row r="4" customFormat="false" ht="57" hidden="false" customHeight="true" outlineLevel="0" collapsed="false">
      <c r="A4" s="92"/>
      <c r="B4" s="93" t="s">
        <v>11</v>
      </c>
      <c r="C4" s="93"/>
      <c r="D4" s="93"/>
      <c r="E4" s="93"/>
      <c r="F4" s="93"/>
      <c r="G4" s="93"/>
      <c r="H4" s="93"/>
      <c r="I4" s="93"/>
      <c r="J4" s="92"/>
    </row>
    <row r="5" customFormat="false" ht="13.5" hidden="false" customHeight="true" outlineLevel="0" collapsed="false">
      <c r="A5" s="92"/>
      <c r="B5" s="94" t="s">
        <v>197</v>
      </c>
      <c r="C5" s="94"/>
      <c r="D5" s="94"/>
      <c r="E5" s="94"/>
      <c r="F5" s="94"/>
      <c r="G5" s="94"/>
      <c r="H5" s="94"/>
      <c r="I5" s="94"/>
      <c r="J5" s="92"/>
    </row>
    <row r="6" customFormat="false" ht="13.5" hidden="false" customHeight="true" outlineLevel="0" collapsed="false">
      <c r="A6" s="91"/>
      <c r="B6" s="89"/>
      <c r="C6" s="89"/>
      <c r="D6" s="89"/>
      <c r="E6" s="89"/>
      <c r="F6" s="89"/>
      <c r="G6" s="89"/>
      <c r="H6" s="89"/>
      <c r="I6" s="89"/>
      <c r="J6" s="89"/>
    </row>
    <row r="7" customFormat="false" ht="13.5" hidden="false" customHeight="true" outlineLevel="0" collapsed="false">
      <c r="A7" s="95"/>
      <c r="B7" s="95"/>
      <c r="C7" s="95"/>
      <c r="D7" s="89"/>
      <c r="E7" s="89"/>
      <c r="F7" s="89"/>
      <c r="G7" s="89"/>
      <c r="H7" s="89"/>
      <c r="I7" s="89"/>
      <c r="J7" s="89"/>
    </row>
    <row r="8" customFormat="false" ht="15" hidden="false" customHeight="true" outlineLevel="0" collapsed="false">
      <c r="A8" s="97" t="s">
        <v>198</v>
      </c>
      <c r="B8" s="97"/>
      <c r="C8" s="97"/>
      <c r="D8" s="98" t="s">
        <v>86</v>
      </c>
      <c r="E8" s="98"/>
      <c r="F8" s="98"/>
      <c r="G8" s="98"/>
      <c r="H8" s="98"/>
      <c r="I8" s="98"/>
      <c r="J8" s="99"/>
    </row>
    <row r="9" customFormat="false" ht="13.5" hidden="false" customHeight="true" outlineLevel="0" collapsed="false">
      <c r="A9" s="95"/>
      <c r="B9" s="95"/>
      <c r="C9" s="89"/>
      <c r="D9" s="100" t="s">
        <v>200</v>
      </c>
      <c r="E9" s="100"/>
      <c r="F9" s="100"/>
      <c r="G9" s="100"/>
      <c r="H9" s="100"/>
      <c r="I9" s="100"/>
      <c r="J9" s="89"/>
    </row>
    <row r="10" customFormat="false" ht="13.5" hidden="false" customHeight="true" outlineLevel="0" collapsed="false">
      <c r="A10" s="91"/>
      <c r="B10" s="89"/>
      <c r="C10" s="89"/>
      <c r="D10" s="89"/>
      <c r="E10" s="89"/>
      <c r="F10" s="89"/>
      <c r="G10" s="89"/>
      <c r="H10" s="89"/>
      <c r="I10" s="89"/>
      <c r="J10" s="89"/>
    </row>
    <row r="11" customFormat="false" ht="54" hidden="false" customHeight="true" outlineLevel="0" collapsed="false">
      <c r="A11" s="103" t="s">
        <v>201</v>
      </c>
      <c r="B11" s="103"/>
      <c r="C11" s="103"/>
      <c r="D11" s="104" t="s">
        <v>251</v>
      </c>
      <c r="E11" s="104"/>
      <c r="F11" s="104"/>
      <c r="G11" s="104"/>
      <c r="H11" s="104"/>
      <c r="I11" s="104"/>
      <c r="J11" s="92"/>
    </row>
    <row r="12" customFormat="false" ht="13.5" hidden="false" customHeight="true" outlineLevel="0" collapsed="false">
      <c r="A12" s="91"/>
      <c r="B12" s="89"/>
      <c r="C12" s="89"/>
      <c r="D12" s="89"/>
      <c r="E12" s="89"/>
      <c r="F12" s="89"/>
      <c r="G12" s="89"/>
      <c r="H12" s="89"/>
      <c r="I12" s="89"/>
      <c r="J12" s="89"/>
    </row>
    <row r="13" customFormat="false" ht="13.5" hidden="false" customHeight="true" outlineLevel="0" collapsed="false">
      <c r="A13" s="103" t="s">
        <v>15</v>
      </c>
      <c r="B13" s="103"/>
      <c r="C13" s="103"/>
      <c r="D13" s="108" t="n">
        <f aca="false">H44</f>
        <v>53.74</v>
      </c>
      <c r="E13" s="109" t="s">
        <v>202</v>
      </c>
      <c r="F13" s="110"/>
      <c r="G13" s="89"/>
      <c r="H13" s="89"/>
      <c r="I13" s="89"/>
      <c r="J13" s="89"/>
    </row>
    <row r="14" customFormat="false" ht="13.5" hidden="false" customHeight="true" outlineLevel="0" collapsed="false">
      <c r="A14" s="111"/>
      <c r="B14" s="112"/>
      <c r="C14" s="112"/>
      <c r="D14" s="113"/>
      <c r="E14" s="109"/>
      <c r="F14" s="89"/>
      <c r="G14" s="89"/>
      <c r="H14" s="89"/>
      <c r="I14" s="89"/>
      <c r="J14" s="89"/>
    </row>
    <row r="15" customFormat="false" ht="13.5" hidden="false" customHeight="true" outlineLevel="0" collapsed="false">
      <c r="A15" s="103" t="s">
        <v>203</v>
      </c>
      <c r="B15" s="103"/>
      <c r="C15" s="103"/>
      <c r="D15" s="108" t="n">
        <f aca="false">I44</f>
        <v>25.59</v>
      </c>
      <c r="E15" s="109" t="s">
        <v>202</v>
      </c>
      <c r="F15" s="110"/>
      <c r="G15" s="89"/>
      <c r="H15" s="89"/>
      <c r="I15" s="89"/>
      <c r="J15" s="89"/>
    </row>
    <row r="16" customFormat="false" ht="13.5" hidden="false" customHeight="true" outlineLevel="0" collapsed="false">
      <c r="A16" s="91"/>
      <c r="B16" s="89"/>
      <c r="C16" s="89"/>
      <c r="D16" s="113"/>
      <c r="E16" s="109"/>
      <c r="F16" s="89"/>
      <c r="G16" s="89"/>
      <c r="H16" s="89"/>
      <c r="I16" s="89"/>
      <c r="J16" s="89"/>
    </row>
    <row r="17" customFormat="false" ht="13.5" hidden="false" customHeight="true" outlineLevel="0" collapsed="false">
      <c r="A17" s="103" t="s">
        <v>204</v>
      </c>
      <c r="B17" s="103"/>
      <c r="C17" s="103"/>
      <c r="D17" s="108" t="n">
        <f aca="false">D13/L17</f>
        <v>0.0428036638789327</v>
      </c>
      <c r="E17" s="109" t="s">
        <v>205</v>
      </c>
      <c r="F17" s="113"/>
      <c r="G17" s="89"/>
      <c r="H17" s="89"/>
      <c r="I17" s="89"/>
      <c r="J17" s="89"/>
      <c r="L17" s="1" t="n">
        <v>1255.5</v>
      </c>
      <c r="M17" s="1" t="s">
        <v>252</v>
      </c>
    </row>
    <row r="18" customFormat="false" ht="13.5" hidden="false" customHeight="true" outlineLevel="0" collapsed="false">
      <c r="A18" s="91"/>
      <c r="B18" s="89"/>
      <c r="C18" s="89"/>
      <c r="D18" s="89"/>
      <c r="E18" s="89"/>
      <c r="F18" s="89"/>
      <c r="G18" s="89"/>
      <c r="H18" s="89"/>
      <c r="I18" s="89"/>
      <c r="J18" s="89"/>
    </row>
    <row r="19" customFormat="false" ht="13.5" hidden="false" customHeight="true" outlineLevel="0" collapsed="false">
      <c r="A19" s="103" t="s">
        <v>206</v>
      </c>
      <c r="B19" s="103"/>
      <c r="C19" s="103"/>
      <c r="D19" s="103"/>
      <c r="E19" s="103"/>
      <c r="F19" s="103"/>
      <c r="G19" s="103"/>
      <c r="H19" s="103"/>
      <c r="I19" s="103"/>
      <c r="J19" s="103"/>
    </row>
    <row r="20" customFormat="false" ht="13.5" hidden="false" customHeight="true" outlineLevel="0" collapsed="false">
      <c r="A20" s="89"/>
      <c r="B20" s="89"/>
      <c r="C20" s="89"/>
      <c r="D20" s="89"/>
      <c r="E20" s="89"/>
      <c r="F20" s="89"/>
      <c r="G20" s="89"/>
      <c r="H20" s="89"/>
      <c r="I20" s="89"/>
      <c r="J20" s="89"/>
    </row>
    <row r="21" customFormat="false" ht="13.5" hidden="false" customHeight="true" outlineLevel="0" collapsed="false">
      <c r="A21" s="114" t="s">
        <v>207</v>
      </c>
      <c r="B21" s="114" t="s">
        <v>208</v>
      </c>
      <c r="C21" s="114" t="s">
        <v>209</v>
      </c>
      <c r="D21" s="114" t="s">
        <v>15</v>
      </c>
      <c r="E21" s="114"/>
      <c r="F21" s="114"/>
      <c r="G21" s="114"/>
      <c r="H21" s="114"/>
      <c r="I21" s="114" t="s">
        <v>210</v>
      </c>
      <c r="J21" s="114" t="s">
        <v>211</v>
      </c>
    </row>
    <row r="22" customFormat="false" ht="48.75" hidden="false" customHeight="true" outlineLevel="0" collapsed="false">
      <c r="A22" s="114"/>
      <c r="B22" s="114"/>
      <c r="C22" s="114"/>
      <c r="D22" s="114" t="s">
        <v>212</v>
      </c>
      <c r="E22" s="114" t="s">
        <v>213</v>
      </c>
      <c r="F22" s="114" t="s">
        <v>214</v>
      </c>
      <c r="G22" s="114" t="s">
        <v>215</v>
      </c>
      <c r="H22" s="114" t="s">
        <v>216</v>
      </c>
      <c r="I22" s="114"/>
      <c r="J22" s="114"/>
      <c r="O22" s="117"/>
      <c r="P22" s="117"/>
    </row>
    <row r="23" customFormat="false" ht="13.5" hidden="false" customHeight="true" outlineLevel="0" collapsed="false">
      <c r="A23" s="116" t="n">
        <v>1</v>
      </c>
      <c r="B23" s="116" t="n">
        <v>2</v>
      </c>
      <c r="C23" s="116" t="n">
        <v>3</v>
      </c>
      <c r="D23" s="116" t="n">
        <v>4</v>
      </c>
      <c r="E23" s="116" t="n">
        <v>5</v>
      </c>
      <c r="F23" s="116" t="n">
        <v>6</v>
      </c>
      <c r="G23" s="116" t="n">
        <v>7</v>
      </c>
      <c r="H23" s="116" t="n">
        <v>8</v>
      </c>
      <c r="I23" s="116" t="n">
        <v>9</v>
      </c>
      <c r="J23" s="116" t="n">
        <v>10</v>
      </c>
      <c r="O23" s="126"/>
      <c r="P23" s="126"/>
    </row>
    <row r="24" customFormat="false" ht="13.5" hidden="false" customHeight="true" outlineLevel="0" collapsed="false">
      <c r="A24" s="120" t="n">
        <v>1</v>
      </c>
      <c r="B24" s="121"/>
      <c r="C24" s="25" t="s">
        <v>253</v>
      </c>
      <c r="D24" s="122"/>
      <c r="E24" s="122"/>
      <c r="F24" s="122"/>
      <c r="G24" s="122"/>
      <c r="H24" s="122"/>
      <c r="I24" s="122"/>
      <c r="J24" s="123" t="n">
        <f aca="false">(H25+H26+H27)/$L$17</f>
        <v>0.00566308243727599</v>
      </c>
      <c r="L24" s="178"/>
      <c r="O24" s="126"/>
      <c r="P24" s="126"/>
    </row>
    <row r="25" customFormat="false" ht="13.5" hidden="false" customHeight="true" outlineLevel="0" collapsed="false">
      <c r="A25" s="120"/>
      <c r="B25" s="121" t="s">
        <v>254</v>
      </c>
      <c r="C25" s="30" t="s">
        <v>41</v>
      </c>
      <c r="D25" s="127" t="n">
        <v>0</v>
      </c>
      <c r="E25" s="127" t="n">
        <v>0</v>
      </c>
      <c r="F25" s="127" t="n">
        <v>0</v>
      </c>
      <c r="G25" s="127" t="n">
        <v>0</v>
      </c>
      <c r="H25" s="127" t="n">
        <f aca="false">SUM(D25:G25)</f>
        <v>0</v>
      </c>
      <c r="I25" s="128" t="n">
        <v>0</v>
      </c>
      <c r="J25" s="123"/>
      <c r="L25" s="178"/>
      <c r="O25" s="126"/>
      <c r="P25" s="126"/>
    </row>
    <row r="26" customFormat="false" ht="13.5" hidden="false" customHeight="true" outlineLevel="0" collapsed="false">
      <c r="A26" s="120"/>
      <c r="B26" s="121"/>
      <c r="C26" s="38" t="s">
        <v>42</v>
      </c>
      <c r="D26" s="130" t="n">
        <v>0</v>
      </c>
      <c r="E26" s="130" t="n">
        <v>0</v>
      </c>
      <c r="F26" s="130" t="n">
        <v>0</v>
      </c>
      <c r="G26" s="130" t="n">
        <v>0</v>
      </c>
      <c r="H26" s="130" t="n">
        <f aca="false">(SUM(D26:G26))</f>
        <v>0</v>
      </c>
      <c r="I26" s="130" t="n">
        <v>0</v>
      </c>
      <c r="J26" s="123"/>
      <c r="L26" s="130" t="n">
        <v>-1</v>
      </c>
      <c r="O26" s="126"/>
      <c r="P26" s="126"/>
    </row>
    <row r="27" customFormat="false" ht="13.5" hidden="false" customHeight="true" outlineLevel="0" collapsed="false">
      <c r="A27" s="120"/>
      <c r="B27" s="121"/>
      <c r="C27" s="39" t="s">
        <v>43</v>
      </c>
      <c r="D27" s="127" t="n">
        <v>0</v>
      </c>
      <c r="E27" s="127" t="n">
        <v>0</v>
      </c>
      <c r="F27" s="127" t="n">
        <v>0</v>
      </c>
      <c r="G27" s="127" t="n">
        <v>7.11</v>
      </c>
      <c r="H27" s="127" t="n">
        <f aca="false">SUM(D27:G27)</f>
        <v>7.11</v>
      </c>
      <c r="I27" s="127" t="n">
        <v>3.38</v>
      </c>
      <c r="J27" s="123"/>
      <c r="L27" s="213"/>
      <c r="O27" s="126"/>
      <c r="P27" s="126"/>
    </row>
    <row r="28" customFormat="false" ht="18.75" hidden="false" customHeight="true" outlineLevel="0" collapsed="false">
      <c r="A28" s="120" t="n">
        <v>2</v>
      </c>
      <c r="B28" s="121"/>
      <c r="C28" s="25" t="s">
        <v>255</v>
      </c>
      <c r="D28" s="128"/>
      <c r="E28" s="128"/>
      <c r="F28" s="128"/>
      <c r="G28" s="128"/>
      <c r="H28" s="128"/>
      <c r="I28" s="128"/>
      <c r="J28" s="123" t="n">
        <f aca="false">(H29+H30+H31)/$L$17</f>
        <v>0.00260454002389486</v>
      </c>
      <c r="K28" s="129"/>
      <c r="L28" s="129"/>
      <c r="N28" s="117"/>
      <c r="O28" s="117"/>
      <c r="Q28" s="117"/>
      <c r="R28" s="117"/>
    </row>
    <row r="29" customFormat="false" ht="15" hidden="false" customHeight="true" outlineLevel="0" collapsed="false">
      <c r="A29" s="120"/>
      <c r="B29" s="121" t="s">
        <v>256</v>
      </c>
      <c r="C29" s="30" t="s">
        <v>41</v>
      </c>
      <c r="D29" s="127" t="n">
        <v>0</v>
      </c>
      <c r="E29" s="127" t="n">
        <v>0</v>
      </c>
      <c r="F29" s="127" t="n">
        <v>0</v>
      </c>
      <c r="G29" s="127" t="n">
        <v>0</v>
      </c>
      <c r="H29" s="127" t="n">
        <f aca="false">SUM(D29:G29)</f>
        <v>0</v>
      </c>
      <c r="I29" s="128" t="n">
        <v>0</v>
      </c>
      <c r="J29" s="123"/>
      <c r="K29" s="125"/>
      <c r="L29" s="125"/>
      <c r="M29" s="125"/>
      <c r="N29" s="126"/>
      <c r="O29" s="126"/>
      <c r="P29" s="132"/>
      <c r="Q29" s="126"/>
      <c r="R29" s="126"/>
      <c r="S29" s="138"/>
    </row>
    <row r="30" customFormat="false" ht="15" hidden="false" customHeight="true" outlineLevel="0" collapsed="false">
      <c r="A30" s="120"/>
      <c r="B30" s="121"/>
      <c r="C30" s="38" t="s">
        <v>42</v>
      </c>
      <c r="D30" s="130" t="n">
        <v>0</v>
      </c>
      <c r="E30" s="130" t="n">
        <v>0</v>
      </c>
      <c r="F30" s="130" t="n">
        <v>0</v>
      </c>
      <c r="G30" s="130" t="n">
        <v>0</v>
      </c>
      <c r="H30" s="137" t="n">
        <f aca="false">SUM(D30:G30)</f>
        <v>0</v>
      </c>
      <c r="I30" s="130" t="n">
        <v>0</v>
      </c>
      <c r="J30" s="123"/>
      <c r="K30" s="125"/>
      <c r="L30" s="125"/>
      <c r="M30" s="125"/>
      <c r="N30" s="126"/>
      <c r="O30" s="126"/>
      <c r="P30" s="132"/>
      <c r="Q30" s="126"/>
      <c r="R30" s="126"/>
      <c r="S30" s="138"/>
    </row>
    <row r="31" customFormat="false" ht="15" hidden="false" customHeight="true" outlineLevel="0" collapsed="false">
      <c r="A31" s="120"/>
      <c r="B31" s="121"/>
      <c r="C31" s="39" t="s">
        <v>43</v>
      </c>
      <c r="D31" s="127" t="n">
        <v>0</v>
      </c>
      <c r="E31" s="127" t="n">
        <v>0</v>
      </c>
      <c r="F31" s="127" t="n">
        <v>0</v>
      </c>
      <c r="G31" s="127" t="n">
        <v>3.27</v>
      </c>
      <c r="H31" s="127" t="n">
        <f aca="false">SUM(D31:G31)</f>
        <v>3.27</v>
      </c>
      <c r="I31" s="127" t="n">
        <v>1.56</v>
      </c>
      <c r="J31" s="123"/>
      <c r="K31" s="125"/>
      <c r="L31" s="125"/>
      <c r="M31" s="132"/>
      <c r="N31" s="126"/>
      <c r="O31" s="126"/>
      <c r="P31" s="132"/>
      <c r="Q31" s="126"/>
      <c r="R31" s="126"/>
      <c r="S31" s="138"/>
    </row>
    <row r="32" customFormat="false" ht="15" hidden="false" customHeight="true" outlineLevel="0" collapsed="false">
      <c r="A32" s="120" t="n">
        <v>3</v>
      </c>
      <c r="B32" s="121"/>
      <c r="C32" s="25" t="s">
        <v>257</v>
      </c>
      <c r="D32" s="128"/>
      <c r="E32" s="128"/>
      <c r="F32" s="128"/>
      <c r="G32" s="128"/>
      <c r="H32" s="128"/>
      <c r="I32" s="128"/>
      <c r="J32" s="123" t="n">
        <f aca="false">(H33+H34+H35)/$L$17</f>
        <v>0.0100677021107129</v>
      </c>
      <c r="K32" s="125"/>
      <c r="L32" s="125"/>
      <c r="M32" s="132"/>
      <c r="N32" s="126"/>
      <c r="O32" s="126"/>
      <c r="P32" s="132"/>
      <c r="Q32" s="126"/>
      <c r="R32" s="126"/>
      <c r="S32" s="138"/>
    </row>
    <row r="33" customFormat="false" ht="15" hidden="false" customHeight="true" outlineLevel="0" collapsed="false">
      <c r="A33" s="120"/>
      <c r="B33" s="121" t="s">
        <v>258</v>
      </c>
      <c r="C33" s="30" t="s">
        <v>41</v>
      </c>
      <c r="D33" s="127" t="n">
        <v>0</v>
      </c>
      <c r="E33" s="127" t="n">
        <v>0</v>
      </c>
      <c r="F33" s="127" t="n">
        <v>0</v>
      </c>
      <c r="G33" s="127" t="n">
        <v>0</v>
      </c>
      <c r="H33" s="127" t="n">
        <f aca="false">SUM(D33:G33)</f>
        <v>0</v>
      </c>
      <c r="I33" s="128" t="n">
        <v>0</v>
      </c>
      <c r="J33" s="123"/>
      <c r="K33" s="125"/>
      <c r="L33" s="125"/>
      <c r="M33" s="144"/>
      <c r="N33" s="126"/>
      <c r="O33" s="126"/>
      <c r="P33" s="144"/>
      <c r="Q33" s="126"/>
      <c r="R33" s="126"/>
      <c r="S33" s="214"/>
    </row>
    <row r="34" customFormat="false" ht="15" hidden="false" customHeight="true" outlineLevel="0" collapsed="false">
      <c r="A34" s="120"/>
      <c r="B34" s="121"/>
      <c r="C34" s="38" t="s">
        <v>42</v>
      </c>
      <c r="D34" s="130" t="n">
        <v>0</v>
      </c>
      <c r="E34" s="130" t="n">
        <v>0</v>
      </c>
      <c r="F34" s="130" t="n">
        <v>0</v>
      </c>
      <c r="G34" s="130" t="n">
        <v>0</v>
      </c>
      <c r="H34" s="137" t="n">
        <f aca="false">SUM(D34:G34)</f>
        <v>0</v>
      </c>
      <c r="I34" s="130" t="n">
        <v>0</v>
      </c>
      <c r="J34" s="123"/>
      <c r="K34" s="125"/>
      <c r="L34" s="125"/>
      <c r="M34" s="144"/>
      <c r="N34" s="144"/>
      <c r="O34" s="144"/>
      <c r="P34" s="144"/>
      <c r="Q34" s="215"/>
      <c r="R34" s="215"/>
      <c r="S34" s="214"/>
    </row>
    <row r="35" customFormat="false" ht="15" hidden="false" customHeight="true" outlineLevel="0" collapsed="false">
      <c r="A35" s="120"/>
      <c r="B35" s="121"/>
      <c r="C35" s="39" t="s">
        <v>43</v>
      </c>
      <c r="D35" s="127" t="n">
        <v>0</v>
      </c>
      <c r="E35" s="127" t="n">
        <v>0</v>
      </c>
      <c r="F35" s="127" t="n">
        <v>0</v>
      </c>
      <c r="G35" s="127" t="n">
        <v>12.64</v>
      </c>
      <c r="H35" s="127" t="n">
        <f aca="false">SUM(D35:G35)</f>
        <v>12.64</v>
      </c>
      <c r="I35" s="127" t="n">
        <v>6.02</v>
      </c>
      <c r="J35" s="123"/>
      <c r="K35" s="125"/>
      <c r="L35" s="125"/>
      <c r="M35" s="144"/>
      <c r="N35" s="144"/>
      <c r="O35" s="144"/>
      <c r="P35" s="144"/>
      <c r="Q35" s="215"/>
      <c r="R35" s="215"/>
      <c r="S35" s="214"/>
    </row>
    <row r="36" customFormat="false" ht="15" hidden="false" customHeight="true" outlineLevel="0" collapsed="false">
      <c r="A36" s="120" t="n">
        <v>4</v>
      </c>
      <c r="B36" s="147"/>
      <c r="C36" s="25" t="s">
        <v>259</v>
      </c>
      <c r="D36" s="122"/>
      <c r="E36" s="122"/>
      <c r="F36" s="122"/>
      <c r="G36" s="122"/>
      <c r="H36" s="122"/>
      <c r="I36" s="122"/>
      <c r="J36" s="123" t="n">
        <f aca="false">(H37+H38+H39)/$L$17</f>
        <v>0.0238709677419355</v>
      </c>
      <c r="K36" s="125"/>
      <c r="L36" s="125"/>
      <c r="M36" s="132"/>
      <c r="N36" s="132"/>
      <c r="O36" s="132"/>
      <c r="P36" s="132"/>
      <c r="Q36" s="133"/>
      <c r="R36" s="133"/>
      <c r="S36" s="138"/>
    </row>
    <row r="37" customFormat="false" ht="15" hidden="false" customHeight="true" outlineLevel="0" collapsed="false">
      <c r="A37" s="120"/>
      <c r="B37" s="121" t="s">
        <v>260</v>
      </c>
      <c r="C37" s="30" t="s">
        <v>41</v>
      </c>
      <c r="D37" s="127" t="n">
        <v>0</v>
      </c>
      <c r="E37" s="194" t="n">
        <v>0</v>
      </c>
      <c r="F37" s="194" t="n">
        <v>0</v>
      </c>
      <c r="G37" s="194" t="n">
        <v>0</v>
      </c>
      <c r="H37" s="127" t="n">
        <f aca="false">SUM(D37:G37)</f>
        <v>0</v>
      </c>
      <c r="I37" s="128" t="n">
        <v>0</v>
      </c>
      <c r="J37" s="123"/>
      <c r="K37" s="125"/>
      <c r="L37" s="125"/>
      <c r="M37" s="132"/>
      <c r="N37" s="132"/>
      <c r="O37" s="132"/>
      <c r="P37" s="117"/>
      <c r="Q37" s="117"/>
      <c r="R37" s="133"/>
      <c r="S37" s="138"/>
    </row>
    <row r="38" customFormat="false" ht="15" hidden="false" customHeight="true" outlineLevel="0" collapsed="false">
      <c r="A38" s="120"/>
      <c r="B38" s="121"/>
      <c r="C38" s="38" t="s">
        <v>42</v>
      </c>
      <c r="D38" s="216" t="n">
        <v>0</v>
      </c>
      <c r="E38" s="217" t="n">
        <v>0</v>
      </c>
      <c r="F38" s="217" t="n">
        <v>0</v>
      </c>
      <c r="G38" s="217" t="n">
        <v>0</v>
      </c>
      <c r="H38" s="137" t="n">
        <f aca="false">SUM(D38:G38)</f>
        <v>0</v>
      </c>
      <c r="I38" s="216" t="n">
        <v>0</v>
      </c>
      <c r="J38" s="123"/>
      <c r="K38" s="125"/>
      <c r="L38" s="125"/>
      <c r="M38" s="132"/>
      <c r="N38" s="132"/>
      <c r="O38" s="132"/>
      <c r="P38" s="126"/>
      <c r="Q38" s="126"/>
      <c r="R38" s="133"/>
      <c r="S38" s="138"/>
    </row>
    <row r="39" customFormat="false" ht="15" hidden="false" customHeight="true" outlineLevel="0" collapsed="false">
      <c r="A39" s="120"/>
      <c r="B39" s="121"/>
      <c r="C39" s="39" t="s">
        <v>43</v>
      </c>
      <c r="D39" s="218" t="n">
        <v>0</v>
      </c>
      <c r="E39" s="219" t="n">
        <v>0</v>
      </c>
      <c r="F39" s="219" t="n">
        <v>0</v>
      </c>
      <c r="G39" s="127" t="n">
        <v>29.97</v>
      </c>
      <c r="H39" s="127" t="n">
        <f aca="false">SUM(D39:G39)</f>
        <v>29.97</v>
      </c>
      <c r="I39" s="127" t="n">
        <v>14.27</v>
      </c>
      <c r="J39" s="123"/>
      <c r="K39" s="125"/>
      <c r="L39" s="125"/>
      <c r="M39" s="144"/>
      <c r="N39" s="144"/>
      <c r="O39" s="144"/>
      <c r="P39" s="126"/>
      <c r="Q39" s="126"/>
      <c r="R39" s="215"/>
      <c r="S39" s="214"/>
    </row>
    <row r="40" customFormat="false" ht="13.5" hidden="false" customHeight="true" outlineLevel="0" collapsed="false">
      <c r="A40" s="120" t="n">
        <v>5</v>
      </c>
      <c r="B40" s="147"/>
      <c r="C40" s="25" t="s">
        <v>261</v>
      </c>
      <c r="D40" s="122"/>
      <c r="E40" s="122"/>
      <c r="F40" s="122"/>
      <c r="G40" s="122"/>
      <c r="H40" s="122"/>
      <c r="I40" s="122"/>
      <c r="J40" s="123" t="n">
        <f aca="false">(H41+H42+H43)/$L$17</f>
        <v>0.000597371565113501</v>
      </c>
      <c r="P40" s="126"/>
      <c r="Q40" s="126"/>
    </row>
    <row r="41" customFormat="false" ht="13.5" hidden="false" customHeight="true" outlineLevel="0" collapsed="false">
      <c r="A41" s="120"/>
      <c r="B41" s="121" t="s">
        <v>262</v>
      </c>
      <c r="C41" s="30" t="s">
        <v>41</v>
      </c>
      <c r="D41" s="127" t="n">
        <v>0</v>
      </c>
      <c r="E41" s="194" t="n">
        <v>0</v>
      </c>
      <c r="F41" s="194" t="n">
        <v>0</v>
      </c>
      <c r="G41" s="194" t="n">
        <v>0</v>
      </c>
      <c r="H41" s="127" t="n">
        <f aca="false">SUM(D41:G41)</f>
        <v>0</v>
      </c>
      <c r="I41" s="127" t="n">
        <v>0</v>
      </c>
      <c r="J41" s="123"/>
      <c r="K41" s="125"/>
      <c r="L41" s="125"/>
      <c r="P41" s="126"/>
      <c r="Q41" s="126"/>
    </row>
    <row r="42" customFormat="false" ht="13.5" hidden="false" customHeight="true" outlineLevel="0" collapsed="false">
      <c r="A42" s="120"/>
      <c r="B42" s="121"/>
      <c r="C42" s="38" t="s">
        <v>42</v>
      </c>
      <c r="D42" s="216" t="n">
        <v>0</v>
      </c>
      <c r="E42" s="217" t="n">
        <v>0</v>
      </c>
      <c r="F42" s="217" t="n">
        <v>0</v>
      </c>
      <c r="G42" s="217" t="n">
        <v>0</v>
      </c>
      <c r="H42" s="137" t="n">
        <f aca="false">SUM(D42:G42)</f>
        <v>0</v>
      </c>
      <c r="I42" s="216" t="n">
        <v>0</v>
      </c>
      <c r="J42" s="123"/>
      <c r="K42" s="125"/>
      <c r="L42" s="125"/>
      <c r="P42" s="126"/>
      <c r="Q42" s="126"/>
    </row>
    <row r="43" customFormat="false" ht="13.5" hidden="false" customHeight="true" outlineLevel="0" collapsed="false">
      <c r="A43" s="120"/>
      <c r="B43" s="121"/>
      <c r="C43" s="39" t="s">
        <v>43</v>
      </c>
      <c r="D43" s="127" t="n">
        <v>0</v>
      </c>
      <c r="E43" s="194" t="n">
        <v>0</v>
      </c>
      <c r="F43" s="194" t="n">
        <v>0</v>
      </c>
      <c r="G43" s="127" t="n">
        <v>0.75</v>
      </c>
      <c r="H43" s="127" t="n">
        <f aca="false">SUM(D43:G43)</f>
        <v>0.75</v>
      </c>
      <c r="I43" s="127" t="n">
        <v>0.36</v>
      </c>
      <c r="J43" s="123"/>
      <c r="K43" s="125"/>
      <c r="L43" s="125"/>
    </row>
    <row r="44" customFormat="false" ht="13.5" hidden="false" customHeight="true" outlineLevel="0" collapsed="false">
      <c r="A44" s="170"/>
      <c r="B44" s="171"/>
      <c r="C44" s="25" t="s">
        <v>245</v>
      </c>
      <c r="D44" s="172" t="n">
        <f aca="false">D45+D46+D47</f>
        <v>0</v>
      </c>
      <c r="E44" s="172" t="n">
        <f aca="false">E45+E46+E47</f>
        <v>0</v>
      </c>
      <c r="F44" s="172" t="n">
        <f aca="false">F45+F46+F47</f>
        <v>0</v>
      </c>
      <c r="G44" s="172" t="n">
        <f aca="false">G45+G46+G47</f>
        <v>53.74</v>
      </c>
      <c r="H44" s="172" t="n">
        <f aca="false">H45+H46+H47</f>
        <v>53.74</v>
      </c>
      <c r="I44" s="172" t="n">
        <f aca="false">I45+I46+I47</f>
        <v>25.59</v>
      </c>
      <c r="J44" s="212"/>
      <c r="K44" s="125"/>
      <c r="L44" s="125"/>
    </row>
    <row r="45" customFormat="false" ht="13.5" hidden="false" customHeight="true" outlineLevel="0" collapsed="false">
      <c r="A45" s="173"/>
      <c r="B45" s="173"/>
      <c r="C45" s="30" t="s">
        <v>41</v>
      </c>
      <c r="D45" s="174" t="n">
        <f aca="false">D25+D29+D33+D37+D41</f>
        <v>0</v>
      </c>
      <c r="E45" s="174" t="n">
        <f aca="false">E25+E29+E33+E37+E41</f>
        <v>0</v>
      </c>
      <c r="F45" s="174" t="n">
        <f aca="false">F25+F29+F33+F37+F41</f>
        <v>0</v>
      </c>
      <c r="G45" s="174" t="n">
        <f aca="false">G25+G29+G33+G37+G41</f>
        <v>0</v>
      </c>
      <c r="H45" s="174" t="n">
        <f aca="false">H25+H29+H33+H37+H41</f>
        <v>0</v>
      </c>
      <c r="I45" s="174" t="n">
        <f aca="false">I25+I29+I33+I37+I41</f>
        <v>0</v>
      </c>
      <c r="J45" s="175"/>
    </row>
    <row r="46" customFormat="false" ht="13.5" hidden="false" customHeight="true" outlineLevel="0" collapsed="false">
      <c r="A46" s="173"/>
      <c r="B46" s="173"/>
      <c r="C46" s="38" t="s">
        <v>42</v>
      </c>
      <c r="D46" s="176" t="n">
        <f aca="false">D26+D30+D34+D38+D42</f>
        <v>0</v>
      </c>
      <c r="E46" s="176" t="n">
        <f aca="false">E26+E30+E34+E38+E42</f>
        <v>0</v>
      </c>
      <c r="F46" s="176" t="n">
        <f aca="false">F26+F30+F34+F38+F42</f>
        <v>0</v>
      </c>
      <c r="G46" s="176" t="n">
        <f aca="false">G26+G30+G34+G38+G42</f>
        <v>0</v>
      </c>
      <c r="H46" s="176" t="n">
        <f aca="false">H26+H30+H34+H38+H42</f>
        <v>0</v>
      </c>
      <c r="I46" s="176" t="n">
        <f aca="false">I26+I30+I34+I38+I42</f>
        <v>0</v>
      </c>
      <c r="J46" s="175"/>
    </row>
    <row r="47" customFormat="false" ht="13.5" hidden="false" customHeight="true" outlineLevel="0" collapsed="false">
      <c r="A47" s="173"/>
      <c r="B47" s="173"/>
      <c r="C47" s="39" t="s">
        <v>43</v>
      </c>
      <c r="D47" s="174" t="n">
        <f aca="false">D27+D31+D35+D39+D43</f>
        <v>0</v>
      </c>
      <c r="E47" s="174" t="n">
        <f aca="false">E27+E31+E35+E39+E43</f>
        <v>0</v>
      </c>
      <c r="F47" s="174" t="n">
        <f aca="false">F27+F31+F35+F39+F43</f>
        <v>0</v>
      </c>
      <c r="G47" s="174" t="n">
        <f aca="false">G27+G31+G35+G39+G43</f>
        <v>53.74</v>
      </c>
      <c r="H47" s="174" t="n">
        <f aca="false">H27+H31+H35+H39+H43</f>
        <v>53.74</v>
      </c>
      <c r="I47" s="174" t="n">
        <f aca="false">I27+I31+I35+I39+I43</f>
        <v>25.59</v>
      </c>
      <c r="J47" s="175"/>
    </row>
    <row r="48" s="1" customFormat="true" ht="12.75" hidden="false" customHeight="true" outlineLevel="0" collapsed="false"/>
    <row r="49" s="1" customFormat="true" ht="12.75" hidden="false" customHeight="true" outlineLevel="0" collapsed="false"/>
    <row r="50" customFormat="false" ht="12.75" hidden="false" customHeight="true" outlineLevel="0" collapsed="false">
      <c r="A50" s="83"/>
      <c r="B50" s="84"/>
      <c r="C50" s="84"/>
      <c r="D50" s="80"/>
      <c r="E50" s="80"/>
      <c r="F50" s="80"/>
      <c r="G50" s="80"/>
      <c r="H50" s="80"/>
    </row>
    <row r="51" customFormat="false" ht="12.75" hidden="false" customHeight="true" outlineLevel="0" collapsed="false">
      <c r="A51" s="83"/>
      <c r="B51" s="84"/>
      <c r="C51" s="84"/>
      <c r="D51" s="80"/>
      <c r="E51" s="80"/>
      <c r="F51" s="80"/>
      <c r="G51" s="80"/>
      <c r="H51" s="80"/>
    </row>
    <row r="52" customFormat="false" ht="12.75" hidden="false" customHeight="true" outlineLevel="0" collapsed="false">
      <c r="A52" s="79" t="s">
        <v>170</v>
      </c>
      <c r="B52" s="79"/>
      <c r="C52" s="79"/>
      <c r="D52" s="80"/>
      <c r="E52" s="80"/>
      <c r="F52" s="80"/>
      <c r="G52" s="80"/>
      <c r="H52" s="80"/>
    </row>
    <row r="53" customFormat="false" ht="12.75" hidden="false" customHeight="true" outlineLevel="0" collapsed="false">
      <c r="A53" s="81" t="s">
        <v>171</v>
      </c>
      <c r="B53" s="81"/>
      <c r="C53" s="81"/>
      <c r="D53" s="81"/>
      <c r="E53" s="81"/>
      <c r="F53" s="81"/>
      <c r="G53" s="81"/>
      <c r="H53" s="81"/>
    </row>
    <row r="54" customFormat="false" ht="12.75" hidden="false" customHeight="true" outlineLevel="0" collapsed="false">
      <c r="A54" s="82" t="s">
        <v>168</v>
      </c>
      <c r="B54" s="82"/>
      <c r="C54" s="82"/>
      <c r="D54" s="82"/>
      <c r="E54" s="82"/>
      <c r="F54" s="82"/>
      <c r="G54" s="82"/>
      <c r="H54" s="82"/>
    </row>
    <row r="55" customFormat="false" ht="12.75" hidden="false" customHeight="true" outlineLevel="0" collapsed="false">
      <c r="A55" s="83"/>
      <c r="B55" s="84"/>
      <c r="C55" s="84"/>
      <c r="D55" s="80"/>
      <c r="E55" s="80"/>
      <c r="F55" s="80"/>
      <c r="G55" s="80"/>
      <c r="H55" s="80"/>
    </row>
    <row r="56" customFormat="false" ht="12.75" hidden="false" customHeight="true" outlineLevel="0" collapsed="false">
      <c r="A56" s="79" t="s">
        <v>172</v>
      </c>
      <c r="B56" s="79"/>
      <c r="C56" s="84"/>
      <c r="D56" s="80"/>
      <c r="E56" s="80"/>
      <c r="F56" s="80"/>
      <c r="G56" s="80"/>
      <c r="H56" s="80"/>
    </row>
    <row r="57" customFormat="false" ht="12.75" hidden="false" customHeight="true" outlineLevel="0" collapsed="false">
      <c r="A57" s="81" t="s">
        <v>173</v>
      </c>
      <c r="B57" s="81"/>
      <c r="C57" s="81"/>
      <c r="D57" s="81"/>
      <c r="E57" s="81"/>
      <c r="F57" s="81"/>
      <c r="G57" s="81"/>
      <c r="H57" s="81"/>
    </row>
    <row r="58" customFormat="false" ht="12.75" hidden="false" customHeight="true" outlineLevel="0" collapsed="false">
      <c r="A58" s="82" t="s">
        <v>168</v>
      </c>
      <c r="B58" s="82"/>
      <c r="C58" s="82"/>
      <c r="D58" s="82"/>
      <c r="E58" s="82"/>
      <c r="F58" s="82"/>
      <c r="G58" s="82"/>
      <c r="H58" s="82"/>
    </row>
    <row r="59" customFormat="false" ht="12.75" hidden="false" customHeight="true" outlineLevel="0" collapsed="false">
      <c r="A59" s="83"/>
      <c r="B59" s="84"/>
      <c r="C59" s="84"/>
      <c r="D59" s="80"/>
      <c r="E59" s="80"/>
      <c r="F59" s="80"/>
      <c r="G59" s="80"/>
      <c r="H59" s="80"/>
    </row>
    <row r="60" customFormat="false" ht="12.75" hidden="false" customHeight="true" outlineLevel="0" collapsed="false">
      <c r="A60" s="79" t="s">
        <v>246</v>
      </c>
      <c r="B60" s="79"/>
      <c r="C60" s="84"/>
      <c r="D60" s="80"/>
      <c r="E60" s="80"/>
      <c r="F60" s="80"/>
      <c r="G60" s="80"/>
      <c r="H60" s="80"/>
    </row>
    <row r="61" s="86" customFormat="true" ht="12.75" hidden="false" customHeight="true" outlineLevel="0" collapsed="false">
      <c r="A61" s="81" t="s">
        <v>247</v>
      </c>
      <c r="B61" s="81"/>
      <c r="C61" s="81"/>
      <c r="D61" s="81"/>
      <c r="E61" s="81"/>
      <c r="F61" s="81"/>
      <c r="G61" s="81"/>
      <c r="H61" s="8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="86" customFormat="true" ht="12.75" hidden="false" customHeight="true" outlineLevel="0" collapsed="false">
      <c r="A62" s="82" t="s">
        <v>168</v>
      </c>
      <c r="B62" s="82"/>
      <c r="C62" s="82"/>
      <c r="D62" s="82"/>
      <c r="E62" s="82"/>
      <c r="F62" s="82"/>
      <c r="G62" s="82"/>
      <c r="H62" s="8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="86" customFormat="true" ht="12.75" hidden="false" customHeight="true" outlineLevel="0" collapsed="false">
      <c r="A63" s="83"/>
      <c r="B63" s="84"/>
      <c r="C63" s="84"/>
      <c r="D63" s="80"/>
      <c r="E63" s="80"/>
      <c r="F63" s="80"/>
      <c r="G63" s="80"/>
      <c r="H63" s="80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="86" customFormat="true" ht="12.75" hidden="false" customHeight="true" outlineLevel="0" collapsed="false">
      <c r="A64" s="79" t="s">
        <v>248</v>
      </c>
      <c r="B64" s="79"/>
      <c r="C64" s="84"/>
      <c r="D64" s="80"/>
      <c r="E64" s="80"/>
      <c r="F64" s="80"/>
      <c r="G64" s="80"/>
      <c r="H64" s="80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="86" customFormat="true" ht="12.75" hidden="false" customHeight="true" outlineLevel="0" collapsed="false">
      <c r="A65" s="81" t="s">
        <v>249</v>
      </c>
      <c r="B65" s="81"/>
      <c r="C65" s="81"/>
      <c r="D65" s="81"/>
      <c r="E65" s="81"/>
      <c r="F65" s="81"/>
      <c r="G65" s="81"/>
      <c r="H65" s="8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="86" customFormat="true" ht="12.75" hidden="false" customHeight="true" outlineLevel="0" collapsed="false">
      <c r="A66" s="82" t="s">
        <v>168</v>
      </c>
      <c r="B66" s="82"/>
      <c r="C66" s="82"/>
      <c r="D66" s="82"/>
      <c r="E66" s="82"/>
      <c r="F66" s="82"/>
      <c r="G66" s="82"/>
      <c r="H66" s="8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</sheetData>
  <mergeCells count="26">
    <mergeCell ref="A1:D1"/>
    <mergeCell ref="B4:I4"/>
    <mergeCell ref="B5:I5"/>
    <mergeCell ref="A8:C8"/>
    <mergeCell ref="D8:I8"/>
    <mergeCell ref="D9:I9"/>
    <mergeCell ref="A11:C11"/>
    <mergeCell ref="D11:I11"/>
    <mergeCell ref="A13:C13"/>
    <mergeCell ref="A15:C15"/>
    <mergeCell ref="A17:C17"/>
    <mergeCell ref="A19:J19"/>
    <mergeCell ref="A21:A22"/>
    <mergeCell ref="B21:B22"/>
    <mergeCell ref="C21:C22"/>
    <mergeCell ref="D21:H21"/>
    <mergeCell ref="I21:I22"/>
    <mergeCell ref="J21:J22"/>
    <mergeCell ref="A53:H53"/>
    <mergeCell ref="A54:H54"/>
    <mergeCell ref="A57:H57"/>
    <mergeCell ref="A58:H58"/>
    <mergeCell ref="A61:H61"/>
    <mergeCell ref="A62:H62"/>
    <mergeCell ref="A65:H65"/>
    <mergeCell ref="A66:H66"/>
  </mergeCells>
  <printOptions headings="false" gridLines="false" gridLinesSet="true" horizontalCentered="false" verticalCentered="false"/>
  <pageMargins left="0.354166666666667" right="0.354166666666667" top="0.354166666666667" bottom="0.354166666666667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66"/>
  <sheetViews>
    <sheetView showFormulas="false" showGridLines="true" showRowColHeaders="true" showZeros="true" rightToLeft="false" tabSelected="false" showOutlineSymbols="true" defaultGridColor="true" view="pageBreakPreview" topLeftCell="A4" colorId="64" zoomScale="70" zoomScaleNormal="85" zoomScalePageLayoutView="70" workbookViewId="0">
      <selection pane="topLeft" activeCell="A19" activeCellId="0" sqref="A19"/>
    </sheetView>
  </sheetViews>
  <sheetFormatPr defaultColWidth="9.1484375" defaultRowHeight="12.75" zeroHeight="false" outlineLevelRow="0" outlineLevelCol="0"/>
  <cols>
    <col collapsed="false" customWidth="true" hidden="false" outlineLevel="0" max="1" min="1" style="86" width="5.71"/>
    <col collapsed="false" customWidth="true" hidden="false" outlineLevel="0" max="2" min="2" style="86" width="11.57"/>
    <col collapsed="false" customWidth="true" hidden="false" outlineLevel="0" max="3" min="3" style="86" width="40.71"/>
    <col collapsed="false" customWidth="true" hidden="false" outlineLevel="0" max="10" min="4" style="86" width="12.71"/>
    <col collapsed="false" customWidth="false" hidden="false" outlineLevel="0" max="11" min="11" style="1" width="9.14"/>
    <col collapsed="false" customWidth="true" hidden="false" outlineLevel="0" max="12" min="12" style="1" width="12.15"/>
    <col collapsed="false" customWidth="true" hidden="false" outlineLevel="0" max="13" min="13" style="1" width="16"/>
    <col collapsed="false" customWidth="false" hidden="false" outlineLevel="0" max="16384" min="14" style="1" width="9.14"/>
  </cols>
  <sheetData>
    <row r="1" customFormat="false" ht="12.75" hidden="false" customHeight="true" outlineLevel="0" collapsed="false">
      <c r="A1" s="87"/>
      <c r="B1" s="87"/>
      <c r="C1" s="87"/>
      <c r="D1" s="87"/>
    </row>
    <row r="2" customFormat="false" ht="13.5" hidden="false" customHeight="true" outlineLevel="0" collapsed="false">
      <c r="A2" s="88"/>
      <c r="B2" s="88"/>
      <c r="C2" s="88"/>
      <c r="D2" s="88"/>
      <c r="E2" s="88"/>
      <c r="F2" s="88"/>
      <c r="G2" s="88"/>
      <c r="H2" s="88"/>
      <c r="I2" s="89"/>
      <c r="J2" s="90" t="s">
        <v>196</v>
      </c>
    </row>
    <row r="3" customFormat="false" ht="13.5" hidden="false" customHeight="true" outlineLevel="0" collapsed="false">
      <c r="A3" s="91"/>
      <c r="B3" s="89"/>
      <c r="C3" s="89"/>
      <c r="D3" s="89"/>
      <c r="E3" s="89"/>
      <c r="F3" s="89"/>
      <c r="G3" s="89"/>
      <c r="H3" s="89"/>
      <c r="I3" s="89"/>
      <c r="J3" s="89"/>
    </row>
    <row r="4" customFormat="false" ht="57" hidden="false" customHeight="true" outlineLevel="0" collapsed="false">
      <c r="A4" s="92"/>
      <c r="B4" s="93" t="s">
        <v>11</v>
      </c>
      <c r="C4" s="93"/>
      <c r="D4" s="93"/>
      <c r="E4" s="93"/>
      <c r="F4" s="93"/>
      <c r="G4" s="93"/>
      <c r="H4" s="93"/>
      <c r="I4" s="93"/>
      <c r="J4" s="92"/>
    </row>
    <row r="5" customFormat="false" ht="13.5" hidden="false" customHeight="true" outlineLevel="0" collapsed="false">
      <c r="A5" s="92"/>
      <c r="B5" s="94" t="s">
        <v>197</v>
      </c>
      <c r="C5" s="94"/>
      <c r="D5" s="94"/>
      <c r="E5" s="94"/>
      <c r="F5" s="94"/>
      <c r="G5" s="94"/>
      <c r="H5" s="94"/>
      <c r="I5" s="94"/>
      <c r="J5" s="92"/>
    </row>
    <row r="6" customFormat="false" ht="13.5" hidden="false" customHeight="true" outlineLevel="0" collapsed="false">
      <c r="A6" s="91"/>
      <c r="B6" s="89"/>
      <c r="C6" s="89"/>
      <c r="D6" s="89"/>
      <c r="E6" s="89"/>
      <c r="F6" s="89"/>
      <c r="G6" s="89"/>
      <c r="H6" s="89"/>
      <c r="I6" s="89"/>
      <c r="J6" s="89"/>
    </row>
    <row r="7" customFormat="false" ht="13.5" hidden="false" customHeight="true" outlineLevel="0" collapsed="false">
      <c r="A7" s="95"/>
      <c r="B7" s="95"/>
      <c r="C7" s="95"/>
      <c r="D7" s="89"/>
      <c r="E7" s="89"/>
      <c r="F7" s="89"/>
      <c r="G7" s="89"/>
      <c r="H7" s="89"/>
      <c r="I7" s="89"/>
      <c r="J7" s="89"/>
    </row>
    <row r="8" customFormat="false" ht="15" hidden="false" customHeight="true" outlineLevel="0" collapsed="false">
      <c r="A8" s="97" t="s">
        <v>198</v>
      </c>
      <c r="B8" s="97"/>
      <c r="C8" s="97"/>
      <c r="D8" s="98" t="s">
        <v>86</v>
      </c>
      <c r="E8" s="98"/>
      <c r="F8" s="98"/>
      <c r="G8" s="98"/>
      <c r="H8" s="98"/>
      <c r="I8" s="98"/>
      <c r="J8" s="99"/>
    </row>
    <row r="9" customFormat="false" ht="13.5" hidden="false" customHeight="true" outlineLevel="0" collapsed="false">
      <c r="A9" s="95"/>
      <c r="B9" s="95"/>
      <c r="C9" s="89"/>
      <c r="D9" s="100" t="s">
        <v>200</v>
      </c>
      <c r="E9" s="100"/>
      <c r="F9" s="100"/>
      <c r="G9" s="100"/>
      <c r="H9" s="100"/>
      <c r="I9" s="100"/>
      <c r="J9" s="89"/>
    </row>
    <row r="10" customFormat="false" ht="13.5" hidden="false" customHeight="true" outlineLevel="0" collapsed="false">
      <c r="A10" s="91"/>
      <c r="B10" s="89"/>
      <c r="C10" s="89"/>
      <c r="D10" s="89"/>
      <c r="E10" s="89"/>
      <c r="F10" s="89"/>
      <c r="G10" s="89"/>
      <c r="H10" s="89"/>
      <c r="I10" s="89"/>
      <c r="J10" s="89"/>
    </row>
    <row r="11" customFormat="false" ht="54" hidden="false" customHeight="true" outlineLevel="0" collapsed="false">
      <c r="A11" s="103" t="s">
        <v>201</v>
      </c>
      <c r="B11" s="103"/>
      <c r="C11" s="103"/>
      <c r="D11" s="104" t="s">
        <v>251</v>
      </c>
      <c r="E11" s="104"/>
      <c r="F11" s="104"/>
      <c r="G11" s="104"/>
      <c r="H11" s="104"/>
      <c r="I11" s="104"/>
      <c r="J11" s="92"/>
    </row>
    <row r="12" customFormat="false" ht="13.5" hidden="false" customHeight="true" outlineLevel="0" collapsed="false">
      <c r="A12" s="91"/>
      <c r="B12" s="89"/>
      <c r="C12" s="89"/>
      <c r="D12" s="89"/>
      <c r="E12" s="89"/>
      <c r="F12" s="89"/>
      <c r="G12" s="89"/>
      <c r="H12" s="89"/>
      <c r="I12" s="89"/>
      <c r="J12" s="89"/>
    </row>
    <row r="13" customFormat="false" ht="13.5" hidden="false" customHeight="true" outlineLevel="0" collapsed="false">
      <c r="A13" s="103" t="s">
        <v>15</v>
      </c>
      <c r="B13" s="103"/>
      <c r="C13" s="103"/>
      <c r="D13" s="108" t="n">
        <f aca="false">H44</f>
        <v>2539.9594</v>
      </c>
      <c r="E13" s="109" t="s">
        <v>202</v>
      </c>
      <c r="F13" s="110"/>
      <c r="G13" s="89"/>
      <c r="H13" s="89"/>
      <c r="I13" s="89"/>
      <c r="J13" s="89"/>
    </row>
    <row r="14" customFormat="false" ht="13.5" hidden="false" customHeight="true" outlineLevel="0" collapsed="false">
      <c r="A14" s="111"/>
      <c r="B14" s="112"/>
      <c r="C14" s="112"/>
      <c r="D14" s="113"/>
      <c r="E14" s="109"/>
      <c r="F14" s="89"/>
      <c r="G14" s="89"/>
      <c r="H14" s="89"/>
      <c r="I14" s="89"/>
      <c r="J14" s="89"/>
    </row>
    <row r="15" customFormat="false" ht="13.5" hidden="false" customHeight="true" outlineLevel="0" collapsed="false">
      <c r="A15" s="103" t="s">
        <v>203</v>
      </c>
      <c r="B15" s="103"/>
      <c r="C15" s="103"/>
      <c r="D15" s="108" t="n">
        <f aca="false">I44</f>
        <v>1406.77</v>
      </c>
      <c r="E15" s="109" t="s">
        <v>202</v>
      </c>
      <c r="F15" s="110"/>
      <c r="G15" s="89"/>
      <c r="H15" s="89"/>
      <c r="I15" s="89"/>
      <c r="J15" s="89"/>
    </row>
    <row r="16" customFormat="false" ht="13.5" hidden="false" customHeight="true" outlineLevel="0" collapsed="false">
      <c r="A16" s="91"/>
      <c r="B16" s="89"/>
      <c r="C16" s="89"/>
      <c r="D16" s="113"/>
      <c r="E16" s="109"/>
      <c r="F16" s="89"/>
      <c r="G16" s="89"/>
      <c r="H16" s="89"/>
      <c r="I16" s="89"/>
      <c r="J16" s="89"/>
    </row>
    <row r="17" customFormat="false" ht="13.5" hidden="false" customHeight="true" outlineLevel="0" collapsed="false">
      <c r="A17" s="103" t="s">
        <v>204</v>
      </c>
      <c r="B17" s="103"/>
      <c r="C17" s="103"/>
      <c r="D17" s="108" t="n">
        <f aca="false">D13/L17</f>
        <v>2.02306602947033</v>
      </c>
      <c r="E17" s="109" t="s">
        <v>205</v>
      </c>
      <c r="F17" s="113"/>
      <c r="G17" s="89"/>
      <c r="H17" s="89"/>
      <c r="I17" s="89"/>
      <c r="J17" s="89"/>
      <c r="L17" s="1" t="n">
        <v>1255.5</v>
      </c>
      <c r="M17" s="1" t="s">
        <v>252</v>
      </c>
    </row>
    <row r="18" customFormat="false" ht="13.5" hidden="false" customHeight="true" outlineLevel="0" collapsed="false">
      <c r="A18" s="91"/>
      <c r="B18" s="89"/>
      <c r="C18" s="89"/>
      <c r="D18" s="89"/>
      <c r="E18" s="89"/>
      <c r="F18" s="89"/>
      <c r="G18" s="89"/>
      <c r="H18" s="89"/>
      <c r="I18" s="89"/>
      <c r="J18" s="89"/>
    </row>
    <row r="19" customFormat="false" ht="13.5" hidden="false" customHeight="true" outlineLevel="0" collapsed="false">
      <c r="A19" s="103" t="s">
        <v>250</v>
      </c>
      <c r="B19" s="103"/>
      <c r="C19" s="103"/>
      <c r="D19" s="103"/>
      <c r="E19" s="103"/>
      <c r="F19" s="103"/>
      <c r="G19" s="103"/>
      <c r="H19" s="103"/>
      <c r="I19" s="103"/>
      <c r="J19" s="103"/>
    </row>
    <row r="20" customFormat="false" ht="13.5" hidden="false" customHeight="true" outlineLevel="0" collapsed="false">
      <c r="A20" s="89"/>
      <c r="B20" s="89"/>
      <c r="C20" s="89"/>
      <c r="D20" s="89"/>
      <c r="E20" s="89"/>
      <c r="F20" s="89"/>
      <c r="G20" s="89"/>
      <c r="H20" s="89"/>
      <c r="I20" s="89"/>
      <c r="J20" s="89"/>
    </row>
    <row r="21" customFormat="false" ht="13.5" hidden="false" customHeight="true" outlineLevel="0" collapsed="false">
      <c r="A21" s="114" t="s">
        <v>207</v>
      </c>
      <c r="B21" s="114" t="s">
        <v>208</v>
      </c>
      <c r="C21" s="114" t="s">
        <v>209</v>
      </c>
      <c r="D21" s="114" t="s">
        <v>15</v>
      </c>
      <c r="E21" s="114"/>
      <c r="F21" s="114"/>
      <c r="G21" s="114"/>
      <c r="H21" s="114"/>
      <c r="I21" s="114" t="s">
        <v>210</v>
      </c>
      <c r="J21" s="114" t="s">
        <v>211</v>
      </c>
    </row>
    <row r="22" customFormat="false" ht="48.75" hidden="false" customHeight="true" outlineLevel="0" collapsed="false">
      <c r="A22" s="114"/>
      <c r="B22" s="114"/>
      <c r="C22" s="114"/>
      <c r="D22" s="114" t="s">
        <v>212</v>
      </c>
      <c r="E22" s="114" t="s">
        <v>213</v>
      </c>
      <c r="F22" s="114" t="s">
        <v>214</v>
      </c>
      <c r="G22" s="114" t="s">
        <v>215</v>
      </c>
      <c r="H22" s="114" t="s">
        <v>216</v>
      </c>
      <c r="I22" s="114"/>
      <c r="J22" s="114"/>
    </row>
    <row r="23" customFormat="false" ht="13.5" hidden="false" customHeight="true" outlineLevel="0" collapsed="false">
      <c r="A23" s="116" t="n">
        <v>1</v>
      </c>
      <c r="B23" s="116" t="n">
        <v>2</v>
      </c>
      <c r="C23" s="116" t="n">
        <v>3</v>
      </c>
      <c r="D23" s="116" t="n">
        <v>4</v>
      </c>
      <c r="E23" s="116" t="n">
        <v>5</v>
      </c>
      <c r="F23" s="116" t="n">
        <v>6</v>
      </c>
      <c r="G23" s="116" t="n">
        <v>7</v>
      </c>
      <c r="H23" s="116" t="n">
        <v>8</v>
      </c>
      <c r="I23" s="116" t="n">
        <v>9</v>
      </c>
      <c r="J23" s="116" t="n">
        <v>10</v>
      </c>
    </row>
    <row r="24" customFormat="false" ht="13.5" hidden="false" customHeight="true" outlineLevel="0" collapsed="false">
      <c r="A24" s="120" t="n">
        <v>1</v>
      </c>
      <c r="B24" s="121"/>
      <c r="C24" s="25" t="s">
        <v>263</v>
      </c>
      <c r="D24" s="122"/>
      <c r="E24" s="122"/>
      <c r="F24" s="122"/>
      <c r="G24" s="122"/>
      <c r="H24" s="122"/>
      <c r="I24" s="122"/>
      <c r="J24" s="123" t="n">
        <f aca="false">(H25+H26+H27)/$L$17</f>
        <v>0.248990410195141</v>
      </c>
      <c r="L24" s="178"/>
    </row>
    <row r="25" customFormat="false" ht="13.5" hidden="false" customHeight="true" outlineLevel="0" collapsed="false">
      <c r="A25" s="120"/>
      <c r="B25" s="121" t="s">
        <v>254</v>
      </c>
      <c r="C25" s="30" t="s">
        <v>41</v>
      </c>
      <c r="D25" s="127" t="n">
        <v>0</v>
      </c>
      <c r="E25" s="127" t="n">
        <v>0</v>
      </c>
      <c r="F25" s="127" t="n">
        <v>0</v>
      </c>
      <c r="G25" s="127" t="n">
        <v>0</v>
      </c>
      <c r="H25" s="127" t="n">
        <f aca="false">SUM(D25:G25)</f>
        <v>0</v>
      </c>
      <c r="I25" s="127" t="n">
        <v>0</v>
      </c>
      <c r="J25" s="123"/>
      <c r="L25" s="178"/>
    </row>
    <row r="26" customFormat="false" ht="13.5" hidden="false" customHeight="true" outlineLevel="0" collapsed="false">
      <c r="A26" s="120"/>
      <c r="B26" s="121"/>
      <c r="C26" s="38" t="s">
        <v>42</v>
      </c>
      <c r="D26" s="220" t="n">
        <v>0</v>
      </c>
      <c r="E26" s="220" t="n">
        <v>0</v>
      </c>
      <c r="F26" s="220" t="n">
        <v>0</v>
      </c>
      <c r="G26" s="220" t="n">
        <v>0</v>
      </c>
      <c r="H26" s="220" t="n">
        <f aca="false">(SUM(D26:G26))</f>
        <v>0</v>
      </c>
      <c r="I26" s="220" t="n">
        <v>0</v>
      </c>
      <c r="J26" s="123"/>
      <c r="K26" s="129"/>
      <c r="L26" s="129"/>
      <c r="M26" s="125"/>
    </row>
    <row r="27" customFormat="false" ht="13.5" hidden="false" customHeight="true" outlineLevel="0" collapsed="false">
      <c r="A27" s="120"/>
      <c r="B27" s="121"/>
      <c r="C27" s="39" t="s">
        <v>43</v>
      </c>
      <c r="D27" s="127" t="n">
        <v>0</v>
      </c>
      <c r="E27" s="127" t="n">
        <v>0</v>
      </c>
      <c r="F27" s="127" t="n">
        <v>0</v>
      </c>
      <c r="G27" s="127" t="n">
        <v>312.60746</v>
      </c>
      <c r="H27" s="127" t="n">
        <f aca="false">SUM(D27:G27)</f>
        <v>312.60746</v>
      </c>
      <c r="I27" s="127" t="n">
        <v>186.1</v>
      </c>
      <c r="J27" s="123"/>
      <c r="K27" s="125"/>
      <c r="L27" s="125"/>
      <c r="M27" s="125"/>
    </row>
    <row r="28" customFormat="false" ht="18.75" hidden="false" customHeight="true" outlineLevel="0" collapsed="false">
      <c r="A28" s="120" t="n">
        <v>2</v>
      </c>
      <c r="B28" s="121"/>
      <c r="C28" s="25" t="s">
        <v>255</v>
      </c>
      <c r="D28" s="128"/>
      <c r="E28" s="128"/>
      <c r="F28" s="128"/>
      <c r="G28" s="128"/>
      <c r="H28" s="128"/>
      <c r="I28" s="127"/>
      <c r="J28" s="123" t="n">
        <f aca="false">(H29+H30+H31)/$L$17</f>
        <v>0.139725400238949</v>
      </c>
      <c r="K28" s="125"/>
      <c r="L28" s="125"/>
    </row>
    <row r="29" customFormat="false" ht="13.5" hidden="false" customHeight="true" outlineLevel="0" collapsed="false">
      <c r="A29" s="120"/>
      <c r="B29" s="121" t="s">
        <v>256</v>
      </c>
      <c r="C29" s="30" t="s">
        <v>41</v>
      </c>
      <c r="D29" s="127" t="n">
        <v>0</v>
      </c>
      <c r="E29" s="127" t="n">
        <v>0</v>
      </c>
      <c r="F29" s="127" t="n">
        <v>0</v>
      </c>
      <c r="G29" s="127" t="n">
        <v>0</v>
      </c>
      <c r="H29" s="127" t="n">
        <f aca="false">SUM(D29:G29)</f>
        <v>0</v>
      </c>
      <c r="I29" s="127" t="n">
        <v>0</v>
      </c>
      <c r="J29" s="123"/>
      <c r="K29" s="125"/>
      <c r="L29" s="125"/>
      <c r="M29" s="132"/>
    </row>
    <row r="30" customFormat="false" ht="13.5" hidden="false" customHeight="true" outlineLevel="0" collapsed="false">
      <c r="A30" s="120"/>
      <c r="B30" s="121"/>
      <c r="C30" s="38" t="s">
        <v>42</v>
      </c>
      <c r="D30" s="220" t="n">
        <v>0</v>
      </c>
      <c r="E30" s="220" t="n">
        <v>0</v>
      </c>
      <c r="F30" s="220" t="n">
        <v>0</v>
      </c>
      <c r="G30" s="220" t="n">
        <v>0</v>
      </c>
      <c r="H30" s="137" t="n">
        <f aca="false">SUM(D30:G30)</f>
        <v>0</v>
      </c>
      <c r="I30" s="220" t="n">
        <v>0</v>
      </c>
      <c r="J30" s="123"/>
      <c r="K30" s="125"/>
      <c r="L30" s="125"/>
      <c r="M30" s="132"/>
    </row>
    <row r="31" customFormat="false" ht="13.5" hidden="false" customHeight="true" outlineLevel="0" collapsed="false">
      <c r="A31" s="120"/>
      <c r="B31" s="121"/>
      <c r="C31" s="39" t="s">
        <v>43</v>
      </c>
      <c r="D31" s="127" t="n">
        <v>0</v>
      </c>
      <c r="E31" s="127" t="n">
        <v>0</v>
      </c>
      <c r="F31" s="127" t="n">
        <v>0</v>
      </c>
      <c r="G31" s="127" t="n">
        <v>175.42524</v>
      </c>
      <c r="H31" s="127" t="n">
        <f aca="false">SUM(D31:G31)</f>
        <v>175.42524</v>
      </c>
      <c r="I31" s="127" t="n">
        <v>85.59</v>
      </c>
      <c r="J31" s="123"/>
      <c r="K31" s="125"/>
      <c r="L31" s="125"/>
      <c r="M31" s="132"/>
    </row>
    <row r="32" customFormat="false" ht="15" hidden="false" customHeight="true" outlineLevel="0" collapsed="false">
      <c r="A32" s="120" t="n">
        <v>3</v>
      </c>
      <c r="B32" s="121"/>
      <c r="C32" s="25" t="s">
        <v>257</v>
      </c>
      <c r="D32" s="128"/>
      <c r="E32" s="128"/>
      <c r="F32" s="128"/>
      <c r="G32" s="128"/>
      <c r="H32" s="128"/>
      <c r="I32" s="127"/>
      <c r="J32" s="123" t="n">
        <f aca="false">(H33+H34+H35)/$L$17</f>
        <v>0.496190856232577</v>
      </c>
      <c r="K32" s="221"/>
      <c r="L32" s="132"/>
      <c r="M32" s="132"/>
    </row>
    <row r="33" customFormat="false" ht="13.5" hidden="false" customHeight="true" outlineLevel="0" collapsed="false">
      <c r="A33" s="120"/>
      <c r="B33" s="121" t="s">
        <v>258</v>
      </c>
      <c r="C33" s="30" t="s">
        <v>41</v>
      </c>
      <c r="D33" s="127" t="n">
        <v>0</v>
      </c>
      <c r="E33" s="194" t="n">
        <v>0</v>
      </c>
      <c r="F33" s="194" t="n">
        <v>0</v>
      </c>
      <c r="G33" s="194" t="n">
        <v>0</v>
      </c>
      <c r="H33" s="194" t="n">
        <v>0</v>
      </c>
      <c r="I33" s="194" t="n">
        <v>0</v>
      </c>
      <c r="J33" s="123"/>
      <c r="K33" s="125"/>
      <c r="L33" s="125"/>
      <c r="M33" s="144"/>
    </row>
    <row r="34" customFormat="false" ht="13.5" hidden="false" customHeight="true" outlineLevel="0" collapsed="false">
      <c r="A34" s="120"/>
      <c r="B34" s="121"/>
      <c r="C34" s="38" t="s">
        <v>42</v>
      </c>
      <c r="D34" s="195" t="n">
        <v>0</v>
      </c>
      <c r="E34" s="222" t="n">
        <v>0</v>
      </c>
      <c r="F34" s="222" t="n">
        <v>0</v>
      </c>
      <c r="G34" s="222" t="n">
        <v>0</v>
      </c>
      <c r="H34" s="223" t="n">
        <v>0</v>
      </c>
      <c r="I34" s="222" t="n">
        <v>0</v>
      </c>
      <c r="J34" s="123"/>
      <c r="K34" s="125"/>
      <c r="L34" s="125"/>
      <c r="M34" s="144"/>
    </row>
    <row r="35" customFormat="false" ht="13.5" hidden="false" customHeight="true" outlineLevel="0" collapsed="false">
      <c r="A35" s="120"/>
      <c r="B35" s="121"/>
      <c r="C35" s="39" t="s">
        <v>43</v>
      </c>
      <c r="D35" s="127" t="n">
        <v>0</v>
      </c>
      <c r="E35" s="127" t="n">
        <v>0</v>
      </c>
      <c r="F35" s="127" t="n">
        <v>0</v>
      </c>
      <c r="G35" s="127" t="n">
        <v>622.96762</v>
      </c>
      <c r="H35" s="127" t="n">
        <f aca="false">SUM(D35:G35)</f>
        <v>622.96762</v>
      </c>
      <c r="I35" s="127" t="n">
        <v>330.84</v>
      </c>
      <c r="J35" s="123"/>
      <c r="K35" s="125"/>
      <c r="L35" s="125"/>
      <c r="M35" s="144"/>
    </row>
    <row r="36" customFormat="false" ht="13.5" hidden="false" customHeight="true" outlineLevel="0" collapsed="false">
      <c r="A36" s="120" t="n">
        <v>4</v>
      </c>
      <c r="B36" s="147"/>
      <c r="C36" s="25" t="s">
        <v>259</v>
      </c>
      <c r="D36" s="122"/>
      <c r="E36" s="122"/>
      <c r="F36" s="122"/>
      <c r="G36" s="122"/>
      <c r="H36" s="122"/>
      <c r="I36" s="122"/>
      <c r="J36" s="123" t="n">
        <f aca="false">(H37+H38+H39)/$L$17</f>
        <v>1.11203749900438</v>
      </c>
      <c r="K36" s="125"/>
      <c r="L36" s="125"/>
      <c r="M36" s="132"/>
    </row>
    <row r="37" customFormat="false" ht="13.5" hidden="false" customHeight="true" outlineLevel="0" collapsed="false">
      <c r="A37" s="120"/>
      <c r="B37" s="121" t="s">
        <v>260</v>
      </c>
      <c r="C37" s="30" t="s">
        <v>41</v>
      </c>
      <c r="D37" s="127" t="n">
        <v>0</v>
      </c>
      <c r="E37" s="194" t="n">
        <v>0</v>
      </c>
      <c r="F37" s="194" t="n">
        <v>0</v>
      </c>
      <c r="G37" s="194" t="n">
        <v>0</v>
      </c>
      <c r="H37" s="127" t="n">
        <f aca="false">SUM(D37:G37)</f>
        <v>0</v>
      </c>
      <c r="I37" s="128" t="n">
        <v>0</v>
      </c>
      <c r="J37" s="123"/>
      <c r="K37" s="125"/>
      <c r="L37" s="125"/>
      <c r="M37" s="132"/>
    </row>
    <row r="38" customFormat="false" ht="13.5" hidden="false" customHeight="true" outlineLevel="0" collapsed="false">
      <c r="A38" s="120"/>
      <c r="B38" s="121"/>
      <c r="C38" s="38" t="s">
        <v>42</v>
      </c>
      <c r="D38" s="195" t="n">
        <v>0</v>
      </c>
      <c r="E38" s="222" t="n">
        <v>0</v>
      </c>
      <c r="F38" s="222" t="n">
        <v>0</v>
      </c>
      <c r="G38" s="222" t="n">
        <v>0</v>
      </c>
      <c r="H38" s="137" t="n">
        <f aca="false">SUM(D38:G38)</f>
        <v>0</v>
      </c>
      <c r="I38" s="195" t="n">
        <v>0</v>
      </c>
      <c r="J38" s="123"/>
      <c r="K38" s="125"/>
      <c r="L38" s="125"/>
      <c r="M38" s="132"/>
    </row>
    <row r="39" customFormat="false" ht="13.5" hidden="false" customHeight="true" outlineLevel="0" collapsed="false">
      <c r="A39" s="120"/>
      <c r="B39" s="121"/>
      <c r="C39" s="39" t="s">
        <v>43</v>
      </c>
      <c r="D39" s="127" t="n">
        <v>0</v>
      </c>
      <c r="E39" s="194" t="n">
        <v>0</v>
      </c>
      <c r="F39" s="194" t="n">
        <v>0</v>
      </c>
      <c r="G39" s="194" t="n">
        <v>1396.16308</v>
      </c>
      <c r="H39" s="127" t="n">
        <f aca="false">SUM(D39:G39)</f>
        <v>1396.16308</v>
      </c>
      <c r="I39" s="127" t="n">
        <v>784.72</v>
      </c>
      <c r="J39" s="123"/>
      <c r="K39" s="125"/>
      <c r="L39" s="125"/>
      <c r="M39" s="144"/>
    </row>
    <row r="40" customFormat="false" ht="13.5" hidden="false" customHeight="true" outlineLevel="0" collapsed="false">
      <c r="A40" s="120" t="n">
        <v>5</v>
      </c>
      <c r="B40" s="147"/>
      <c r="C40" s="25" t="s">
        <v>261</v>
      </c>
      <c r="D40" s="122"/>
      <c r="E40" s="122"/>
      <c r="F40" s="122"/>
      <c r="G40" s="122"/>
      <c r="H40" s="122"/>
      <c r="I40" s="122"/>
      <c r="J40" s="123" t="n">
        <f aca="false">(H41+H42+H43)/$L$17</f>
        <v>0.0261218637992832</v>
      </c>
      <c r="K40" s="125"/>
      <c r="L40" s="125"/>
    </row>
    <row r="41" customFormat="false" ht="13.5" hidden="false" customHeight="true" outlineLevel="0" collapsed="false">
      <c r="A41" s="120"/>
      <c r="B41" s="121" t="s">
        <v>262</v>
      </c>
      <c r="C41" s="30" t="s">
        <v>41</v>
      </c>
      <c r="D41" s="127" t="n">
        <v>0</v>
      </c>
      <c r="E41" s="194" t="n">
        <v>0</v>
      </c>
      <c r="F41" s="194" t="n">
        <v>0</v>
      </c>
      <c r="G41" s="194" t="n">
        <v>0</v>
      </c>
      <c r="H41" s="127" t="n">
        <f aca="false">SUM(D41:G41)</f>
        <v>0</v>
      </c>
      <c r="I41" s="127" t="n">
        <v>0</v>
      </c>
      <c r="J41" s="123"/>
      <c r="K41" s="125"/>
    </row>
    <row r="42" customFormat="false" ht="13.5" hidden="false" customHeight="true" outlineLevel="0" collapsed="false">
      <c r="A42" s="120"/>
      <c r="B42" s="121"/>
      <c r="C42" s="38" t="s">
        <v>42</v>
      </c>
      <c r="D42" s="195" t="n">
        <v>0</v>
      </c>
      <c r="E42" s="222" t="n">
        <v>0</v>
      </c>
      <c r="F42" s="222" t="n">
        <v>0</v>
      </c>
      <c r="G42" s="222" t="n">
        <v>0</v>
      </c>
      <c r="H42" s="137" t="n">
        <f aca="false">SUM(D42:G42)</f>
        <v>0</v>
      </c>
      <c r="I42" s="195" t="n">
        <v>0</v>
      </c>
      <c r="J42" s="123"/>
    </row>
    <row r="43" customFormat="false" ht="13.5" hidden="false" customHeight="true" outlineLevel="0" collapsed="false">
      <c r="A43" s="120"/>
      <c r="B43" s="121"/>
      <c r="C43" s="39" t="s">
        <v>43</v>
      </c>
      <c r="D43" s="127" t="n">
        <v>0</v>
      </c>
      <c r="E43" s="194" t="n">
        <v>0</v>
      </c>
      <c r="F43" s="194" t="n">
        <v>0</v>
      </c>
      <c r="G43" s="127" t="n">
        <v>32.796</v>
      </c>
      <c r="H43" s="127" t="n">
        <f aca="false">SUM(D43:G43)</f>
        <v>32.796</v>
      </c>
      <c r="I43" s="127" t="n">
        <v>19.52</v>
      </c>
      <c r="J43" s="123"/>
      <c r="L43" s="125"/>
      <c r="M43" s="125"/>
    </row>
    <row r="44" customFormat="false" ht="13.5" hidden="false" customHeight="true" outlineLevel="0" collapsed="false">
      <c r="A44" s="170"/>
      <c r="B44" s="171"/>
      <c r="C44" s="25" t="s">
        <v>245</v>
      </c>
      <c r="D44" s="172" t="n">
        <f aca="false">D45+D46+D47</f>
        <v>0</v>
      </c>
      <c r="E44" s="172" t="n">
        <f aca="false">E45+E46+E47</f>
        <v>0</v>
      </c>
      <c r="F44" s="172" t="n">
        <f aca="false">F45+F46+F47</f>
        <v>0</v>
      </c>
      <c r="G44" s="172" t="n">
        <f aca="false">G45+G46+G47</f>
        <v>2539.9594</v>
      </c>
      <c r="H44" s="172" t="n">
        <f aca="false">H45+H46+H47</f>
        <v>2539.9594</v>
      </c>
      <c r="I44" s="172" t="n">
        <f aca="false">I45+I46+I47</f>
        <v>1406.77</v>
      </c>
      <c r="J44" s="212"/>
      <c r="L44" s="125"/>
      <c r="M44" s="125"/>
    </row>
    <row r="45" customFormat="false" ht="13.5" hidden="false" customHeight="true" outlineLevel="0" collapsed="false">
      <c r="A45" s="173"/>
      <c r="B45" s="173"/>
      <c r="C45" s="30" t="s">
        <v>41</v>
      </c>
      <c r="D45" s="174" t="n">
        <f aca="false">D25+D29+D33+D37+D41</f>
        <v>0</v>
      </c>
      <c r="E45" s="174" t="n">
        <f aca="false">E25+E29+E33+E37+E41</f>
        <v>0</v>
      </c>
      <c r="F45" s="174" t="n">
        <f aca="false">F25+F29+F33+F37+F41</f>
        <v>0</v>
      </c>
      <c r="G45" s="174" t="n">
        <f aca="false">G25+G29+G33+G37+G41</f>
        <v>0</v>
      </c>
      <c r="H45" s="174" t="n">
        <f aca="false">H25+H29+H33+H37+H41</f>
        <v>0</v>
      </c>
      <c r="I45" s="174" t="n">
        <f aca="false">I25+I29+I33+I37+I41</f>
        <v>0</v>
      </c>
      <c r="J45" s="175"/>
    </row>
    <row r="46" customFormat="false" ht="13.5" hidden="false" customHeight="true" outlineLevel="0" collapsed="false">
      <c r="A46" s="173"/>
      <c r="B46" s="173"/>
      <c r="C46" s="38" t="s">
        <v>42</v>
      </c>
      <c r="D46" s="176" t="n">
        <f aca="false">D26+D30+D34+D38+D42</f>
        <v>0</v>
      </c>
      <c r="E46" s="176" t="n">
        <f aca="false">E26+E30+E34+E38+E42</f>
        <v>0</v>
      </c>
      <c r="F46" s="176" t="n">
        <f aca="false">F26+F30+F34+F38+F42</f>
        <v>0</v>
      </c>
      <c r="G46" s="176" t="n">
        <f aca="false">G26+G30+G34+G38+G42</f>
        <v>0</v>
      </c>
      <c r="H46" s="176" t="n">
        <f aca="false">H26+H30+H34+H38+H42</f>
        <v>0</v>
      </c>
      <c r="I46" s="176" t="n">
        <f aca="false">I26+I30+I34+I38+I42</f>
        <v>0</v>
      </c>
      <c r="J46" s="175"/>
    </row>
    <row r="47" customFormat="false" ht="13.5" hidden="false" customHeight="true" outlineLevel="0" collapsed="false">
      <c r="A47" s="173"/>
      <c r="B47" s="173"/>
      <c r="C47" s="39" t="s">
        <v>43</v>
      </c>
      <c r="D47" s="174" t="n">
        <f aca="false">D27+D31+D35+D39+D43</f>
        <v>0</v>
      </c>
      <c r="E47" s="174" t="n">
        <f aca="false">E27+E31+E35+E39+E43</f>
        <v>0</v>
      </c>
      <c r="F47" s="174" t="n">
        <f aca="false">F27+F31+F35+F39+F43</f>
        <v>0</v>
      </c>
      <c r="G47" s="174" t="n">
        <f aca="false">G27+G31+G35+G39+G43</f>
        <v>2539.9594</v>
      </c>
      <c r="H47" s="174" t="n">
        <f aca="false">H27+H31+H35+H39+H43</f>
        <v>2539.9594</v>
      </c>
      <c r="I47" s="174" t="n">
        <f aca="false">I27+I31+I35+I39+I43</f>
        <v>1406.77</v>
      </c>
      <c r="J47" s="175"/>
    </row>
    <row r="48" s="1" customFormat="true" ht="12.75" hidden="false" customHeight="true" outlineLevel="0" collapsed="false"/>
    <row r="49" s="1" customFormat="true" ht="12.75" hidden="false" customHeight="true" outlineLevel="0" collapsed="false"/>
    <row r="50" customFormat="false" ht="12.75" hidden="false" customHeight="true" outlineLevel="0" collapsed="false">
      <c r="A50" s="83"/>
      <c r="B50" s="84"/>
      <c r="C50" s="84"/>
      <c r="D50" s="80"/>
      <c r="E50" s="80"/>
      <c r="F50" s="80"/>
      <c r="G50" s="80"/>
      <c r="H50" s="80"/>
    </row>
    <row r="51" customFormat="false" ht="12.75" hidden="false" customHeight="true" outlineLevel="0" collapsed="false">
      <c r="A51" s="83"/>
      <c r="B51" s="84"/>
      <c r="C51" s="84"/>
      <c r="D51" s="80"/>
      <c r="E51" s="80"/>
      <c r="F51" s="80"/>
      <c r="G51" s="80"/>
      <c r="H51" s="80"/>
    </row>
    <row r="52" customFormat="false" ht="12.75" hidden="false" customHeight="true" outlineLevel="0" collapsed="false">
      <c r="A52" s="79" t="s">
        <v>170</v>
      </c>
      <c r="B52" s="79"/>
      <c r="C52" s="79"/>
      <c r="D52" s="80"/>
      <c r="E52" s="80"/>
      <c r="F52" s="80"/>
      <c r="G52" s="80"/>
      <c r="H52" s="80"/>
    </row>
    <row r="53" customFormat="false" ht="12.75" hidden="false" customHeight="true" outlineLevel="0" collapsed="false">
      <c r="A53" s="81" t="s">
        <v>171</v>
      </c>
      <c r="B53" s="81"/>
      <c r="C53" s="81"/>
      <c r="D53" s="81"/>
      <c r="E53" s="81"/>
      <c r="F53" s="81"/>
      <c r="G53" s="81"/>
      <c r="H53" s="81"/>
    </row>
    <row r="54" customFormat="false" ht="12.75" hidden="false" customHeight="true" outlineLevel="0" collapsed="false">
      <c r="A54" s="82" t="s">
        <v>168</v>
      </c>
      <c r="B54" s="82"/>
      <c r="C54" s="82"/>
      <c r="D54" s="82"/>
      <c r="E54" s="82"/>
      <c r="F54" s="82"/>
      <c r="G54" s="82"/>
      <c r="H54" s="82"/>
    </row>
    <row r="55" customFormat="false" ht="12.75" hidden="false" customHeight="true" outlineLevel="0" collapsed="false">
      <c r="A55" s="83"/>
      <c r="B55" s="84"/>
      <c r="C55" s="84"/>
      <c r="D55" s="80"/>
      <c r="E55" s="80"/>
      <c r="F55" s="80"/>
      <c r="G55" s="80"/>
      <c r="H55" s="80"/>
    </row>
    <row r="56" customFormat="false" ht="12.75" hidden="false" customHeight="true" outlineLevel="0" collapsed="false">
      <c r="A56" s="79" t="s">
        <v>172</v>
      </c>
      <c r="B56" s="79"/>
      <c r="C56" s="84"/>
      <c r="D56" s="80"/>
      <c r="E56" s="80"/>
      <c r="F56" s="80"/>
      <c r="G56" s="80"/>
      <c r="H56" s="80"/>
    </row>
    <row r="57" customFormat="false" ht="12.75" hidden="false" customHeight="true" outlineLevel="0" collapsed="false">
      <c r="A57" s="81" t="s">
        <v>173</v>
      </c>
      <c r="B57" s="81"/>
      <c r="C57" s="81"/>
      <c r="D57" s="81"/>
      <c r="E57" s="81"/>
      <c r="F57" s="81"/>
      <c r="G57" s="81"/>
      <c r="H57" s="81"/>
    </row>
    <row r="58" customFormat="false" ht="12.75" hidden="false" customHeight="true" outlineLevel="0" collapsed="false">
      <c r="A58" s="82" t="s">
        <v>168</v>
      </c>
      <c r="B58" s="82"/>
      <c r="C58" s="82"/>
      <c r="D58" s="82"/>
      <c r="E58" s="82"/>
      <c r="F58" s="82"/>
      <c r="G58" s="82"/>
      <c r="H58" s="82"/>
    </row>
    <row r="59" customFormat="false" ht="12.75" hidden="false" customHeight="true" outlineLevel="0" collapsed="false">
      <c r="A59" s="83"/>
      <c r="B59" s="84"/>
      <c r="C59" s="84"/>
      <c r="D59" s="80"/>
      <c r="E59" s="80"/>
      <c r="F59" s="80"/>
      <c r="G59" s="80"/>
      <c r="H59" s="80"/>
    </row>
    <row r="60" customFormat="false" ht="12.75" hidden="false" customHeight="true" outlineLevel="0" collapsed="false">
      <c r="A60" s="79" t="s">
        <v>246</v>
      </c>
      <c r="B60" s="79"/>
      <c r="C60" s="84"/>
      <c r="D60" s="80"/>
      <c r="E60" s="80"/>
      <c r="F60" s="80"/>
      <c r="G60" s="80"/>
      <c r="H60" s="80"/>
    </row>
    <row r="61" s="86" customFormat="true" ht="12.75" hidden="false" customHeight="true" outlineLevel="0" collapsed="false">
      <c r="A61" s="81" t="s">
        <v>247</v>
      </c>
      <c r="B61" s="81"/>
      <c r="C61" s="81"/>
      <c r="D61" s="81"/>
      <c r="E61" s="81"/>
      <c r="F61" s="81"/>
      <c r="G61" s="81"/>
      <c r="H61" s="81"/>
      <c r="K61" s="1"/>
      <c r="L61" s="1"/>
      <c r="M61" s="1"/>
    </row>
    <row r="62" s="86" customFormat="true" ht="12.75" hidden="false" customHeight="true" outlineLevel="0" collapsed="false">
      <c r="A62" s="82" t="s">
        <v>168</v>
      </c>
      <c r="B62" s="82"/>
      <c r="C62" s="82"/>
      <c r="D62" s="82"/>
      <c r="E62" s="82"/>
      <c r="F62" s="82"/>
      <c r="G62" s="82"/>
      <c r="H62" s="82"/>
      <c r="K62" s="1"/>
      <c r="L62" s="1"/>
      <c r="M62" s="1"/>
    </row>
    <row r="63" s="86" customFormat="true" ht="12.75" hidden="false" customHeight="true" outlineLevel="0" collapsed="false">
      <c r="A63" s="83"/>
      <c r="B63" s="84"/>
      <c r="C63" s="84"/>
      <c r="D63" s="80"/>
      <c r="E63" s="80"/>
      <c r="F63" s="80"/>
      <c r="G63" s="80"/>
      <c r="H63" s="80"/>
      <c r="K63" s="1"/>
      <c r="L63" s="1"/>
      <c r="M63" s="1"/>
    </row>
    <row r="64" s="86" customFormat="true" ht="12.75" hidden="false" customHeight="true" outlineLevel="0" collapsed="false">
      <c r="A64" s="79" t="s">
        <v>248</v>
      </c>
      <c r="B64" s="79"/>
      <c r="C64" s="84"/>
      <c r="D64" s="80"/>
      <c r="E64" s="80"/>
      <c r="F64" s="80"/>
      <c r="G64" s="80"/>
      <c r="H64" s="80"/>
      <c r="K64" s="1"/>
      <c r="L64" s="1"/>
      <c r="M64" s="1"/>
    </row>
    <row r="65" s="86" customFormat="true" ht="12.75" hidden="false" customHeight="true" outlineLevel="0" collapsed="false">
      <c r="A65" s="81" t="s">
        <v>249</v>
      </c>
      <c r="B65" s="81"/>
      <c r="C65" s="81"/>
      <c r="D65" s="81"/>
      <c r="E65" s="81"/>
      <c r="F65" s="81"/>
      <c r="G65" s="81"/>
      <c r="H65" s="81"/>
      <c r="K65" s="1"/>
      <c r="L65" s="1"/>
      <c r="M65" s="1"/>
    </row>
    <row r="66" s="86" customFormat="true" ht="12.75" hidden="false" customHeight="true" outlineLevel="0" collapsed="false">
      <c r="A66" s="82" t="s">
        <v>168</v>
      </c>
      <c r="B66" s="82"/>
      <c r="C66" s="82"/>
      <c r="D66" s="82"/>
      <c r="E66" s="82"/>
      <c r="F66" s="82"/>
      <c r="G66" s="82"/>
      <c r="H66" s="82"/>
      <c r="K66" s="1"/>
      <c r="L66" s="1"/>
      <c r="M66" s="1"/>
    </row>
  </sheetData>
  <mergeCells count="26">
    <mergeCell ref="A1:D1"/>
    <mergeCell ref="B4:I4"/>
    <mergeCell ref="B5:I5"/>
    <mergeCell ref="A8:C8"/>
    <mergeCell ref="D8:I8"/>
    <mergeCell ref="D9:I9"/>
    <mergeCell ref="A11:C11"/>
    <mergeCell ref="D11:I11"/>
    <mergeCell ref="A13:C13"/>
    <mergeCell ref="A15:C15"/>
    <mergeCell ref="A17:C17"/>
    <mergeCell ref="A19:J19"/>
    <mergeCell ref="A21:A22"/>
    <mergeCell ref="B21:B22"/>
    <mergeCell ref="C21:C22"/>
    <mergeCell ref="D21:H21"/>
    <mergeCell ref="I21:I22"/>
    <mergeCell ref="J21:J22"/>
    <mergeCell ref="A53:H53"/>
    <mergeCell ref="A54:H54"/>
    <mergeCell ref="A57:H57"/>
    <mergeCell ref="A58:H58"/>
    <mergeCell ref="A61:H61"/>
    <mergeCell ref="A62:H62"/>
    <mergeCell ref="A65:H65"/>
    <mergeCell ref="A66:H66"/>
  </mergeCells>
  <printOptions headings="false" gridLines="false" gridLinesSet="true" horizontalCentered="false" verticalCentered="false"/>
  <pageMargins left="0.354166666666667" right="0.354166666666667" top="0.354166666666667" bottom="0.354166666666667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E58"/>
  <sheetViews>
    <sheetView showFormulas="false" showGridLines="true" showRowColHeaders="true" showZeros="true" rightToLeft="false" tabSelected="false" showOutlineSymbols="true" defaultGridColor="true" view="pageBreakPreview" topLeftCell="A7" colorId="64" zoomScale="70" zoomScaleNormal="85" zoomScalePageLayoutView="70" workbookViewId="0">
      <selection pane="topLeft" activeCell="S22" activeCellId="0" sqref="S22"/>
    </sheetView>
  </sheetViews>
  <sheetFormatPr defaultColWidth="9.1484375" defaultRowHeight="12.75" zeroHeight="false" outlineLevelRow="0" outlineLevelCol="0"/>
  <cols>
    <col collapsed="false" customWidth="true" hidden="false" outlineLevel="0" max="1" min="1" style="86" width="5.71"/>
    <col collapsed="false" customWidth="true" hidden="false" outlineLevel="0" max="2" min="2" style="86" width="11.57"/>
    <col collapsed="false" customWidth="true" hidden="false" outlineLevel="0" max="3" min="3" style="86" width="40.71"/>
    <col collapsed="false" customWidth="true" hidden="false" outlineLevel="0" max="10" min="4" style="86" width="12.71"/>
    <col collapsed="false" customWidth="false" hidden="false" outlineLevel="0" max="11" min="11" style="1" width="9.14"/>
    <col collapsed="false" customWidth="true" hidden="false" outlineLevel="0" max="12" min="12" style="1" width="12.15"/>
    <col collapsed="false" customWidth="true" hidden="false" outlineLevel="0" max="13" min="13" style="1" width="16"/>
    <col collapsed="false" customWidth="true" hidden="false" outlineLevel="0" max="14" min="14" style="1" width="13.57"/>
    <col collapsed="false" customWidth="false" hidden="false" outlineLevel="0" max="16" min="15" style="1" width="9.14"/>
    <col collapsed="false" customWidth="true" hidden="false" outlineLevel="0" max="17" min="17" style="1" width="13.57"/>
    <col collapsed="false" customWidth="false" hidden="false" outlineLevel="0" max="18" min="18" style="1" width="9.14"/>
    <col collapsed="false" customWidth="true" hidden="false" outlineLevel="0" max="19" min="19" style="1" width="14.86"/>
    <col collapsed="false" customWidth="false" hidden="false" outlineLevel="0" max="29" min="20" style="1" width="9.14"/>
    <col collapsed="false" customWidth="true" hidden="true" outlineLevel="0" max="30" min="30" style="1" width="11.53"/>
    <col collapsed="false" customWidth="true" hidden="true" outlineLevel="0" max="31" min="31" style="1" width="72.71"/>
    <col collapsed="false" customWidth="true" hidden="true" outlineLevel="0" max="33" min="32" style="1" width="11.53"/>
    <col collapsed="false" customWidth="false" hidden="false" outlineLevel="0" max="16384" min="34" style="1" width="9.14"/>
  </cols>
  <sheetData>
    <row r="1" customFormat="false" ht="12.75" hidden="false" customHeight="true" outlineLevel="0" collapsed="false">
      <c r="A1" s="87"/>
      <c r="B1" s="87"/>
      <c r="C1" s="87"/>
      <c r="D1" s="87"/>
    </row>
    <row r="2" customFormat="false" ht="13.5" hidden="false" customHeight="true" outlineLevel="0" collapsed="false">
      <c r="A2" s="88"/>
      <c r="B2" s="88"/>
      <c r="C2" s="88"/>
      <c r="D2" s="88"/>
      <c r="E2" s="88"/>
      <c r="F2" s="88"/>
      <c r="G2" s="88"/>
      <c r="H2" s="88"/>
      <c r="I2" s="89"/>
      <c r="J2" s="90" t="s">
        <v>196</v>
      </c>
    </row>
    <row r="3" customFormat="false" ht="13.5" hidden="false" customHeight="true" outlineLevel="0" collapsed="false">
      <c r="A3" s="91"/>
      <c r="B3" s="89"/>
      <c r="C3" s="89"/>
      <c r="D3" s="89"/>
      <c r="E3" s="89"/>
      <c r="F3" s="89"/>
      <c r="G3" s="89"/>
      <c r="H3" s="89"/>
      <c r="I3" s="89"/>
      <c r="J3" s="89"/>
    </row>
    <row r="4" customFormat="false" ht="57" hidden="false" customHeight="true" outlineLevel="0" collapsed="false">
      <c r="A4" s="92"/>
      <c r="B4" s="93" t="s">
        <v>11</v>
      </c>
      <c r="C4" s="93"/>
      <c r="D4" s="93"/>
      <c r="E4" s="93"/>
      <c r="F4" s="93"/>
      <c r="G4" s="93"/>
      <c r="H4" s="93"/>
      <c r="I4" s="93"/>
      <c r="J4" s="92"/>
    </row>
    <row r="5" customFormat="false" ht="13.5" hidden="false" customHeight="true" outlineLevel="0" collapsed="false">
      <c r="A5" s="92"/>
      <c r="B5" s="94" t="s">
        <v>197</v>
      </c>
      <c r="C5" s="94"/>
      <c r="D5" s="94"/>
      <c r="E5" s="94"/>
      <c r="F5" s="94"/>
      <c r="G5" s="94"/>
      <c r="H5" s="94"/>
      <c r="I5" s="94"/>
      <c r="J5" s="92"/>
    </row>
    <row r="6" customFormat="false" ht="13.5" hidden="false" customHeight="true" outlineLevel="0" collapsed="false">
      <c r="A6" s="91"/>
      <c r="B6" s="89"/>
      <c r="C6" s="89"/>
      <c r="D6" s="89"/>
      <c r="E6" s="89"/>
      <c r="F6" s="89"/>
      <c r="G6" s="89"/>
      <c r="H6" s="89"/>
      <c r="I6" s="89"/>
      <c r="J6" s="89"/>
    </row>
    <row r="7" customFormat="false" ht="13.5" hidden="false" customHeight="true" outlineLevel="0" collapsed="false">
      <c r="A7" s="95"/>
      <c r="B7" s="95"/>
      <c r="C7" s="95"/>
      <c r="D7" s="89"/>
      <c r="E7" s="89"/>
      <c r="F7" s="89"/>
      <c r="G7" s="89"/>
      <c r="H7" s="89"/>
      <c r="I7" s="89"/>
      <c r="J7" s="89"/>
    </row>
    <row r="8" customFormat="false" ht="15" hidden="false" customHeight="true" outlineLevel="0" collapsed="false">
      <c r="A8" s="97" t="s">
        <v>198</v>
      </c>
      <c r="B8" s="97"/>
      <c r="C8" s="97"/>
      <c r="D8" s="98" t="s">
        <v>89</v>
      </c>
      <c r="E8" s="98"/>
      <c r="F8" s="98"/>
      <c r="G8" s="98"/>
      <c r="H8" s="98"/>
      <c r="I8" s="98"/>
      <c r="J8" s="99"/>
    </row>
    <row r="9" customFormat="false" ht="13.5" hidden="false" customHeight="true" outlineLevel="0" collapsed="false">
      <c r="A9" s="95"/>
      <c r="B9" s="95"/>
      <c r="C9" s="89"/>
      <c r="D9" s="100" t="s">
        <v>200</v>
      </c>
      <c r="E9" s="100"/>
      <c r="F9" s="100"/>
      <c r="G9" s="100"/>
      <c r="H9" s="100"/>
      <c r="I9" s="100"/>
      <c r="J9" s="89"/>
    </row>
    <row r="10" customFormat="false" ht="13.5" hidden="false" customHeight="true" outlineLevel="0" collapsed="false">
      <c r="A10" s="91"/>
      <c r="B10" s="89"/>
      <c r="C10" s="89"/>
      <c r="D10" s="89"/>
      <c r="E10" s="89"/>
      <c r="F10" s="89"/>
      <c r="G10" s="89"/>
      <c r="H10" s="89"/>
      <c r="I10" s="89"/>
      <c r="J10" s="89"/>
    </row>
    <row r="11" customFormat="false" ht="54" hidden="false" customHeight="true" outlineLevel="0" collapsed="false">
      <c r="A11" s="103" t="s">
        <v>201</v>
      </c>
      <c r="B11" s="103"/>
      <c r="C11" s="103"/>
      <c r="D11" s="104" t="s">
        <v>264</v>
      </c>
      <c r="E11" s="104"/>
      <c r="F11" s="104"/>
      <c r="G11" s="104"/>
      <c r="H11" s="104"/>
      <c r="I11" s="104"/>
      <c r="J11" s="92"/>
      <c r="AE11" s="107"/>
    </row>
    <row r="12" customFormat="false" ht="13.5" hidden="false" customHeight="true" outlineLevel="0" collapsed="false">
      <c r="A12" s="91"/>
      <c r="B12" s="89"/>
      <c r="C12" s="89"/>
      <c r="D12" s="89"/>
      <c r="E12" s="89"/>
      <c r="F12" s="89"/>
      <c r="G12" s="89"/>
      <c r="H12" s="89"/>
      <c r="I12" s="89"/>
      <c r="J12" s="89"/>
    </row>
    <row r="13" customFormat="false" ht="13.5" hidden="false" customHeight="true" outlineLevel="0" collapsed="false">
      <c r="A13" s="103" t="s">
        <v>15</v>
      </c>
      <c r="B13" s="103"/>
      <c r="C13" s="103"/>
      <c r="D13" s="108" t="n">
        <f aca="false">H36</f>
        <v>87.89</v>
      </c>
      <c r="E13" s="109" t="s">
        <v>202</v>
      </c>
      <c r="F13" s="110"/>
      <c r="G13" s="89"/>
      <c r="H13" s="89"/>
      <c r="I13" s="89"/>
      <c r="J13" s="89"/>
    </row>
    <row r="14" customFormat="false" ht="13.5" hidden="false" customHeight="true" outlineLevel="0" collapsed="false">
      <c r="A14" s="111"/>
      <c r="B14" s="112"/>
      <c r="C14" s="112"/>
      <c r="D14" s="113"/>
      <c r="E14" s="109"/>
      <c r="F14" s="89"/>
      <c r="G14" s="89"/>
      <c r="H14" s="89"/>
      <c r="I14" s="89"/>
      <c r="J14" s="89"/>
    </row>
    <row r="15" customFormat="false" ht="13.5" hidden="false" customHeight="true" outlineLevel="0" collapsed="false">
      <c r="A15" s="103" t="s">
        <v>203</v>
      </c>
      <c r="B15" s="103"/>
      <c r="C15" s="103"/>
      <c r="D15" s="108" t="n">
        <f aca="false">I36</f>
        <v>0</v>
      </c>
      <c r="E15" s="109" t="s">
        <v>202</v>
      </c>
      <c r="F15" s="110"/>
      <c r="G15" s="89"/>
      <c r="H15" s="89"/>
      <c r="I15" s="89"/>
      <c r="J15" s="89"/>
    </row>
    <row r="16" customFormat="false" ht="13.5" hidden="false" customHeight="true" outlineLevel="0" collapsed="false">
      <c r="A16" s="91"/>
      <c r="B16" s="89"/>
      <c r="C16" s="89"/>
      <c r="D16" s="113"/>
      <c r="E16" s="109"/>
      <c r="F16" s="89"/>
      <c r="G16" s="89"/>
      <c r="H16" s="89"/>
      <c r="I16" s="89"/>
      <c r="J16" s="89"/>
    </row>
    <row r="17" customFormat="false" ht="13.5" hidden="false" customHeight="true" outlineLevel="0" collapsed="false">
      <c r="A17" s="103" t="s">
        <v>204</v>
      </c>
      <c r="B17" s="103"/>
      <c r="C17" s="103"/>
      <c r="D17" s="108" t="n">
        <f aca="false">D13/L17</f>
        <v>0.0700039824771008</v>
      </c>
      <c r="E17" s="109" t="s">
        <v>205</v>
      </c>
      <c r="F17" s="113"/>
      <c r="G17" s="89"/>
      <c r="H17" s="89"/>
      <c r="I17" s="89"/>
      <c r="J17" s="89"/>
      <c r="L17" s="1" t="n">
        <v>1255.5</v>
      </c>
      <c r="M17" s="1" t="s">
        <v>252</v>
      </c>
    </row>
    <row r="18" customFormat="false" ht="13.5" hidden="false" customHeight="true" outlineLevel="0" collapsed="false">
      <c r="A18" s="91"/>
      <c r="B18" s="89"/>
      <c r="C18" s="89"/>
      <c r="D18" s="89"/>
      <c r="E18" s="89"/>
      <c r="F18" s="89"/>
      <c r="G18" s="89"/>
      <c r="H18" s="89"/>
      <c r="I18" s="89"/>
      <c r="J18" s="89"/>
    </row>
    <row r="19" customFormat="false" ht="13.5" hidden="false" customHeight="true" outlineLevel="0" collapsed="false">
      <c r="A19" s="103" t="s">
        <v>206</v>
      </c>
      <c r="B19" s="103"/>
      <c r="C19" s="103"/>
      <c r="D19" s="103"/>
      <c r="E19" s="103"/>
      <c r="F19" s="103"/>
      <c r="G19" s="103"/>
      <c r="H19" s="103"/>
      <c r="I19" s="103"/>
      <c r="J19" s="103"/>
      <c r="L19" s="102"/>
      <c r="M19" s="102"/>
    </row>
    <row r="20" customFormat="false" ht="13.5" hidden="false" customHeight="true" outlineLevel="0" collapsed="false">
      <c r="A20" s="89"/>
      <c r="B20" s="89"/>
      <c r="C20" s="89"/>
      <c r="D20" s="89"/>
      <c r="E20" s="89"/>
      <c r="F20" s="89"/>
      <c r="G20" s="89"/>
      <c r="H20" s="89"/>
      <c r="I20" s="89"/>
      <c r="J20" s="89"/>
      <c r="L20" s="102"/>
      <c r="M20" s="102"/>
    </row>
    <row r="21" customFormat="false" ht="13.5" hidden="false" customHeight="true" outlineLevel="0" collapsed="false">
      <c r="A21" s="114" t="s">
        <v>207</v>
      </c>
      <c r="B21" s="114" t="s">
        <v>208</v>
      </c>
      <c r="C21" s="114" t="s">
        <v>209</v>
      </c>
      <c r="D21" s="114" t="s">
        <v>15</v>
      </c>
      <c r="E21" s="114"/>
      <c r="F21" s="114"/>
      <c r="G21" s="114"/>
      <c r="H21" s="114"/>
      <c r="I21" s="114" t="s">
        <v>210</v>
      </c>
      <c r="J21" s="114" t="s">
        <v>211</v>
      </c>
      <c r="L21" s="106"/>
      <c r="M21" s="106"/>
    </row>
    <row r="22" customFormat="false" ht="48.75" hidden="false" customHeight="true" outlineLevel="0" collapsed="false">
      <c r="A22" s="114"/>
      <c r="B22" s="114"/>
      <c r="C22" s="114"/>
      <c r="D22" s="114" t="s">
        <v>212</v>
      </c>
      <c r="E22" s="114" t="s">
        <v>213</v>
      </c>
      <c r="F22" s="114" t="s">
        <v>214</v>
      </c>
      <c r="G22" s="114" t="s">
        <v>215</v>
      </c>
      <c r="H22" s="114" t="s">
        <v>216</v>
      </c>
      <c r="I22" s="114"/>
      <c r="J22" s="114"/>
      <c r="L22" s="106"/>
      <c r="M22" s="117" t="n">
        <v>22.49</v>
      </c>
      <c r="N22" s="117" t="n">
        <v>133.01</v>
      </c>
    </row>
    <row r="23" customFormat="false" ht="13.5" hidden="false" customHeight="true" outlineLevel="0" collapsed="false">
      <c r="A23" s="116" t="n">
        <v>1</v>
      </c>
      <c r="B23" s="116" t="n">
        <v>2</v>
      </c>
      <c r="C23" s="116" t="n">
        <v>3</v>
      </c>
      <c r="D23" s="116" t="n">
        <v>4</v>
      </c>
      <c r="E23" s="116" t="n">
        <v>5</v>
      </c>
      <c r="F23" s="116" t="n">
        <v>6</v>
      </c>
      <c r="G23" s="116" t="n">
        <v>7</v>
      </c>
      <c r="H23" s="116" t="n">
        <v>8</v>
      </c>
      <c r="I23" s="116" t="n">
        <v>9</v>
      </c>
      <c r="J23" s="116" t="n">
        <v>10</v>
      </c>
      <c r="L23" s="106"/>
      <c r="M23" s="106"/>
    </row>
    <row r="24" customFormat="false" ht="13.5" hidden="false" customHeight="true" outlineLevel="0" collapsed="false">
      <c r="A24" s="120" t="n">
        <v>1</v>
      </c>
      <c r="B24" s="121"/>
      <c r="C24" s="25" t="s">
        <v>265</v>
      </c>
      <c r="D24" s="122"/>
      <c r="E24" s="122"/>
      <c r="F24" s="122"/>
      <c r="G24" s="122"/>
      <c r="H24" s="122"/>
      <c r="I24" s="122"/>
      <c r="J24" s="224" t="n">
        <f aca="false">(H25+H26+H27)/$L$17</f>
        <v>0.000708880923934687</v>
      </c>
      <c r="K24" s="177"/>
      <c r="L24" s="106"/>
      <c r="M24" s="106"/>
    </row>
    <row r="25" customFormat="false" ht="13.5" hidden="false" customHeight="true" outlineLevel="0" collapsed="false">
      <c r="A25" s="120"/>
      <c r="B25" s="121" t="s">
        <v>266</v>
      </c>
      <c r="C25" s="30" t="s">
        <v>41</v>
      </c>
      <c r="D25" s="127" t="n">
        <v>0</v>
      </c>
      <c r="E25" s="127" t="n">
        <v>0</v>
      </c>
      <c r="F25" s="127" t="n">
        <v>0</v>
      </c>
      <c r="G25" s="127" t="n">
        <v>0</v>
      </c>
      <c r="H25" s="127" t="n">
        <f aca="false">SUM(D25:G25)</f>
        <v>0</v>
      </c>
      <c r="I25" s="128" t="n">
        <v>0</v>
      </c>
      <c r="J25" s="224"/>
      <c r="L25" s="106"/>
      <c r="M25" s="106"/>
    </row>
    <row r="26" customFormat="false" ht="13.5" hidden="false" customHeight="true" outlineLevel="0" collapsed="false">
      <c r="A26" s="120"/>
      <c r="B26" s="121"/>
      <c r="C26" s="38" t="s">
        <v>42</v>
      </c>
      <c r="D26" s="130" t="n">
        <v>0</v>
      </c>
      <c r="E26" s="130" t="n">
        <v>0</v>
      </c>
      <c r="F26" s="130" t="n">
        <v>0</v>
      </c>
      <c r="G26" s="130" t="n">
        <v>0</v>
      </c>
      <c r="H26" s="130" t="n">
        <f aca="false">(SUM(D26:G26))</f>
        <v>0</v>
      </c>
      <c r="I26" s="130" t="n">
        <v>0</v>
      </c>
      <c r="J26" s="224"/>
      <c r="L26" s="225"/>
    </row>
    <row r="27" customFormat="false" ht="13.5" hidden="false" customHeight="true" outlineLevel="0" collapsed="false">
      <c r="A27" s="120"/>
      <c r="B27" s="121"/>
      <c r="C27" s="39" t="s">
        <v>43</v>
      </c>
      <c r="D27" s="127" t="n">
        <v>0</v>
      </c>
      <c r="E27" s="127" t="n">
        <v>0</v>
      </c>
      <c r="F27" s="127" t="n">
        <v>0</v>
      </c>
      <c r="G27" s="127" t="n">
        <v>0.89</v>
      </c>
      <c r="H27" s="127" t="n">
        <f aca="false">SUM(D27:G27)</f>
        <v>0.89</v>
      </c>
      <c r="I27" s="127" t="n">
        <v>0</v>
      </c>
      <c r="J27" s="224"/>
      <c r="L27" s="213"/>
    </row>
    <row r="28" customFormat="false" ht="18.75" hidden="false" customHeight="true" outlineLevel="0" collapsed="false">
      <c r="A28" s="120" t="n">
        <v>2</v>
      </c>
      <c r="B28" s="121"/>
      <c r="C28" s="25" t="s">
        <v>267</v>
      </c>
      <c r="D28" s="128"/>
      <c r="E28" s="128"/>
      <c r="F28" s="128"/>
      <c r="G28" s="128"/>
      <c r="H28" s="128"/>
      <c r="I28" s="128"/>
      <c r="J28" s="224" t="n">
        <f aca="false">(H29+H30+H31)/$L$17</f>
        <v>0.0543687773795301</v>
      </c>
      <c r="K28" s="177"/>
      <c r="L28" s="125"/>
      <c r="M28" s="125"/>
    </row>
    <row r="29" customFormat="false" ht="15" hidden="false" customHeight="true" outlineLevel="0" collapsed="false">
      <c r="A29" s="120"/>
      <c r="B29" s="121" t="s">
        <v>268</v>
      </c>
      <c r="C29" s="30" t="s">
        <v>41</v>
      </c>
      <c r="D29" s="127" t="n">
        <v>0</v>
      </c>
      <c r="E29" s="127" t="n">
        <v>0</v>
      </c>
      <c r="F29" s="127" t="n">
        <v>0</v>
      </c>
      <c r="G29" s="127" t="n">
        <v>0</v>
      </c>
      <c r="H29" s="127" t="n">
        <f aca="false">SUM(D29:G29)</f>
        <v>0</v>
      </c>
      <c r="I29" s="128" t="n">
        <v>0</v>
      </c>
      <c r="J29" s="224"/>
      <c r="K29" s="184"/>
      <c r="L29" s="184"/>
      <c r="M29" s="184"/>
      <c r="N29" s="184"/>
      <c r="O29" s="184"/>
      <c r="P29" s="184"/>
      <c r="Q29" s="133"/>
      <c r="R29" s="133"/>
      <c r="S29" s="138"/>
    </row>
    <row r="30" customFormat="false" ht="15" hidden="false" customHeight="true" outlineLevel="0" collapsed="false">
      <c r="A30" s="120"/>
      <c r="B30" s="121"/>
      <c r="C30" s="38" t="s">
        <v>42</v>
      </c>
      <c r="D30" s="130" t="n">
        <v>0</v>
      </c>
      <c r="E30" s="130" t="n">
        <v>0</v>
      </c>
      <c r="F30" s="130" t="n">
        <v>0</v>
      </c>
      <c r="G30" s="130" t="n">
        <v>0</v>
      </c>
      <c r="H30" s="137" t="n">
        <f aca="false">SUM(D30:G30)</f>
        <v>0</v>
      </c>
      <c r="I30" s="130" t="n">
        <v>0</v>
      </c>
      <c r="J30" s="123"/>
      <c r="K30" s="184"/>
      <c r="L30" s="184"/>
      <c r="M30" s="184"/>
      <c r="N30" s="184"/>
      <c r="O30" s="184"/>
      <c r="P30" s="184"/>
      <c r="Q30" s="133"/>
      <c r="R30" s="133"/>
      <c r="S30" s="138"/>
    </row>
    <row r="31" customFormat="false" ht="15" hidden="false" customHeight="true" outlineLevel="0" collapsed="false">
      <c r="A31" s="120"/>
      <c r="B31" s="121"/>
      <c r="C31" s="39" t="s">
        <v>43</v>
      </c>
      <c r="D31" s="127" t="n">
        <v>0</v>
      </c>
      <c r="E31" s="127" t="n">
        <v>0</v>
      </c>
      <c r="F31" s="127" t="n">
        <v>0</v>
      </c>
      <c r="G31" s="127" t="n">
        <v>68.26</v>
      </c>
      <c r="H31" s="127" t="n">
        <f aca="false">SUM(D31:G31)</f>
        <v>68.26</v>
      </c>
      <c r="I31" s="127" t="n">
        <v>0</v>
      </c>
      <c r="J31" s="123"/>
      <c r="K31" s="125"/>
      <c r="L31" s="125"/>
      <c r="M31" s="132"/>
      <c r="N31" s="132"/>
      <c r="O31" s="132"/>
      <c r="P31" s="132"/>
      <c r="Q31" s="133"/>
      <c r="R31" s="133"/>
      <c r="S31" s="138"/>
    </row>
    <row r="32" customFormat="false" ht="15" hidden="false" customHeight="true" outlineLevel="0" collapsed="false">
      <c r="A32" s="120" t="n">
        <v>3</v>
      </c>
      <c r="B32" s="121"/>
      <c r="C32" s="25" t="s">
        <v>269</v>
      </c>
      <c r="D32" s="128"/>
      <c r="E32" s="128"/>
      <c r="F32" s="128"/>
      <c r="G32" s="128"/>
      <c r="H32" s="128"/>
      <c r="I32" s="128"/>
      <c r="J32" s="123" t="n">
        <f aca="false">(H33+H34+H35)/$L$17</f>
        <v>0.014926324173636</v>
      </c>
      <c r="K32" s="184"/>
      <c r="L32" s="184"/>
      <c r="M32" s="184"/>
      <c r="N32" s="184"/>
      <c r="O32" s="184"/>
      <c r="P32" s="184"/>
      <c r="Q32" s="133"/>
      <c r="R32" s="133"/>
      <c r="S32" s="138"/>
    </row>
    <row r="33" customFormat="false" ht="15" hidden="false" customHeight="true" outlineLevel="0" collapsed="false">
      <c r="A33" s="120"/>
      <c r="B33" s="121" t="s">
        <v>270</v>
      </c>
      <c r="C33" s="30" t="s">
        <v>41</v>
      </c>
      <c r="D33" s="127" t="n">
        <v>0</v>
      </c>
      <c r="E33" s="127" t="n">
        <v>0</v>
      </c>
      <c r="F33" s="127" t="n">
        <v>0</v>
      </c>
      <c r="G33" s="127" t="n">
        <v>0</v>
      </c>
      <c r="H33" s="127" t="n">
        <f aca="false">SUM(D33:G33)</f>
        <v>0</v>
      </c>
      <c r="I33" s="128" t="n">
        <v>0</v>
      </c>
      <c r="J33" s="123"/>
      <c r="K33" s="125"/>
      <c r="L33" s="125"/>
      <c r="M33" s="144"/>
      <c r="N33" s="144"/>
      <c r="O33" s="144"/>
      <c r="P33" s="144"/>
      <c r="Q33" s="215"/>
      <c r="R33" s="215"/>
      <c r="S33" s="214"/>
    </row>
    <row r="34" customFormat="false" ht="15" hidden="false" customHeight="true" outlineLevel="0" collapsed="false">
      <c r="A34" s="120"/>
      <c r="B34" s="121"/>
      <c r="C34" s="38" t="s">
        <v>42</v>
      </c>
      <c r="D34" s="130" t="n">
        <v>0</v>
      </c>
      <c r="E34" s="130" t="n">
        <v>0</v>
      </c>
      <c r="F34" s="130" t="n">
        <v>0</v>
      </c>
      <c r="G34" s="130" t="n">
        <v>0</v>
      </c>
      <c r="H34" s="137" t="n">
        <f aca="false">SUM(D34:G34)</f>
        <v>0</v>
      </c>
      <c r="I34" s="130" t="n">
        <v>0</v>
      </c>
      <c r="J34" s="123"/>
      <c r="K34" s="125"/>
      <c r="L34" s="125"/>
      <c r="M34" s="144"/>
      <c r="N34" s="144"/>
      <c r="O34" s="144"/>
      <c r="P34" s="144"/>
      <c r="Q34" s="215"/>
      <c r="R34" s="215"/>
      <c r="S34" s="214"/>
    </row>
    <row r="35" customFormat="false" ht="15" hidden="false" customHeight="true" outlineLevel="0" collapsed="false">
      <c r="A35" s="120"/>
      <c r="B35" s="121"/>
      <c r="C35" s="39" t="s">
        <v>43</v>
      </c>
      <c r="D35" s="127" t="n">
        <v>0</v>
      </c>
      <c r="E35" s="127" t="n">
        <v>0</v>
      </c>
      <c r="F35" s="127" t="n">
        <v>0</v>
      </c>
      <c r="G35" s="127" t="n">
        <v>18.74</v>
      </c>
      <c r="H35" s="127" t="n">
        <f aca="false">SUM(D35:G35)</f>
        <v>18.74</v>
      </c>
      <c r="I35" s="127" t="n">
        <v>0</v>
      </c>
      <c r="J35" s="123"/>
      <c r="K35" s="226"/>
      <c r="L35" s="144"/>
      <c r="M35" s="144"/>
      <c r="N35" s="144"/>
      <c r="O35" s="144"/>
      <c r="P35" s="144"/>
      <c r="Q35" s="215"/>
      <c r="R35" s="215"/>
      <c r="S35" s="214"/>
    </row>
    <row r="36" customFormat="false" ht="13.5" hidden="false" customHeight="true" outlineLevel="0" collapsed="false">
      <c r="A36" s="170"/>
      <c r="B36" s="171"/>
      <c r="C36" s="25" t="s">
        <v>245</v>
      </c>
      <c r="D36" s="172" t="n">
        <f aca="false">D37+D38+D39</f>
        <v>0</v>
      </c>
      <c r="E36" s="172" t="n">
        <f aca="false">E37+E38+E39</f>
        <v>0</v>
      </c>
      <c r="F36" s="172" t="n">
        <f aca="false">F37+F38+F39</f>
        <v>0</v>
      </c>
      <c r="G36" s="172" t="n">
        <f aca="false">G37+G38+G39</f>
        <v>87.89</v>
      </c>
      <c r="H36" s="172" t="n">
        <f aca="false">H37+H38+H39</f>
        <v>87.89</v>
      </c>
      <c r="I36" s="172" t="n">
        <f aca="false">I37+I38+I39</f>
        <v>0</v>
      </c>
      <c r="J36" s="212"/>
    </row>
    <row r="37" customFormat="false" ht="13.5" hidden="false" customHeight="true" outlineLevel="0" collapsed="false">
      <c r="A37" s="173"/>
      <c r="B37" s="173"/>
      <c r="C37" s="30" t="s">
        <v>41</v>
      </c>
      <c r="D37" s="174" t="n">
        <f aca="false">D25+D29+D33</f>
        <v>0</v>
      </c>
      <c r="E37" s="174" t="n">
        <f aca="false">E25+E29+E33</f>
        <v>0</v>
      </c>
      <c r="F37" s="174" t="n">
        <f aca="false">F25+F29+F33</f>
        <v>0</v>
      </c>
      <c r="G37" s="174" t="n">
        <f aca="false">G25+G29+G33</f>
        <v>0</v>
      </c>
      <c r="H37" s="174" t="n">
        <f aca="false">H25+H29+H33</f>
        <v>0</v>
      </c>
      <c r="I37" s="174" t="n">
        <f aca="false">I25+I29+I33</f>
        <v>0</v>
      </c>
      <c r="J37" s="175"/>
    </row>
    <row r="38" customFormat="false" ht="13.5" hidden="false" customHeight="true" outlineLevel="0" collapsed="false">
      <c r="A38" s="173"/>
      <c r="B38" s="173"/>
      <c r="C38" s="38" t="s">
        <v>42</v>
      </c>
      <c r="D38" s="176" t="n">
        <f aca="false">D26+D30+D34</f>
        <v>0</v>
      </c>
      <c r="E38" s="176" t="n">
        <f aca="false">E26+E30+E34</f>
        <v>0</v>
      </c>
      <c r="F38" s="176" t="n">
        <f aca="false">F26+F30+F34</f>
        <v>0</v>
      </c>
      <c r="G38" s="176" t="n">
        <f aca="false">G26+G30+G34</f>
        <v>0</v>
      </c>
      <c r="H38" s="176" t="n">
        <f aca="false">H26+H30+H34</f>
        <v>0</v>
      </c>
      <c r="I38" s="176" t="n">
        <f aca="false">I26+I30+I34</f>
        <v>0</v>
      </c>
      <c r="J38" s="175"/>
    </row>
    <row r="39" customFormat="false" ht="13.5" hidden="false" customHeight="true" outlineLevel="0" collapsed="false">
      <c r="A39" s="173"/>
      <c r="B39" s="173"/>
      <c r="C39" s="39" t="s">
        <v>43</v>
      </c>
      <c r="D39" s="174" t="n">
        <f aca="false">D27+D31+D35</f>
        <v>0</v>
      </c>
      <c r="E39" s="174" t="n">
        <f aca="false">E27+E31+E35</f>
        <v>0</v>
      </c>
      <c r="F39" s="174" t="n">
        <f aca="false">F27+F31+F35</f>
        <v>0</v>
      </c>
      <c r="G39" s="174" t="n">
        <f aca="false">G27+G31+G35</f>
        <v>87.89</v>
      </c>
      <c r="H39" s="174" t="n">
        <f aca="false">H27+H31+H35</f>
        <v>87.89</v>
      </c>
      <c r="I39" s="174" t="n">
        <f aca="false">I27+I31+I35</f>
        <v>0</v>
      </c>
      <c r="J39" s="175"/>
    </row>
    <row r="40" s="1" customFormat="true" ht="12.75" hidden="false" customHeight="true" outlineLevel="0" collapsed="false"/>
    <row r="41" s="1" customFormat="true" ht="12.75" hidden="false" customHeight="true" outlineLevel="0" collapsed="false"/>
    <row r="42" customFormat="false" ht="12.75" hidden="false" customHeight="true" outlineLevel="0" collapsed="false">
      <c r="A42" s="83"/>
      <c r="B42" s="84"/>
      <c r="C42" s="84"/>
      <c r="D42" s="80"/>
      <c r="E42" s="80"/>
      <c r="F42" s="80"/>
      <c r="G42" s="80"/>
      <c r="H42" s="80"/>
    </row>
    <row r="43" customFormat="false" ht="12.75" hidden="false" customHeight="true" outlineLevel="0" collapsed="false">
      <c r="A43" s="83"/>
      <c r="B43" s="84"/>
      <c r="C43" s="84"/>
      <c r="D43" s="80"/>
      <c r="E43" s="80"/>
      <c r="F43" s="80"/>
      <c r="G43" s="80"/>
      <c r="H43" s="80"/>
    </row>
    <row r="44" customFormat="false" ht="12.75" hidden="false" customHeight="true" outlineLevel="0" collapsed="false">
      <c r="A44" s="79" t="s">
        <v>170</v>
      </c>
      <c r="B44" s="79"/>
      <c r="C44" s="79"/>
      <c r="D44" s="80"/>
      <c r="E44" s="80"/>
      <c r="F44" s="80"/>
      <c r="G44" s="80"/>
      <c r="H44" s="80"/>
    </row>
    <row r="45" customFormat="false" ht="12.75" hidden="false" customHeight="true" outlineLevel="0" collapsed="false">
      <c r="A45" s="81" t="s">
        <v>171</v>
      </c>
      <c r="B45" s="81"/>
      <c r="C45" s="81"/>
      <c r="D45" s="81"/>
      <c r="E45" s="81"/>
      <c r="F45" s="81"/>
      <c r="G45" s="81"/>
      <c r="H45" s="81"/>
    </row>
    <row r="46" customFormat="false" ht="12.75" hidden="false" customHeight="true" outlineLevel="0" collapsed="false">
      <c r="A46" s="82" t="s">
        <v>168</v>
      </c>
      <c r="B46" s="82"/>
      <c r="C46" s="82"/>
      <c r="D46" s="82"/>
      <c r="E46" s="82"/>
      <c r="F46" s="82"/>
      <c r="G46" s="82"/>
      <c r="H46" s="82"/>
    </row>
    <row r="47" customFormat="false" ht="12.75" hidden="false" customHeight="true" outlineLevel="0" collapsed="false">
      <c r="A47" s="83"/>
      <c r="B47" s="84"/>
      <c r="C47" s="84"/>
      <c r="D47" s="80"/>
      <c r="E47" s="80"/>
      <c r="F47" s="80"/>
      <c r="G47" s="80"/>
      <c r="H47" s="80"/>
    </row>
    <row r="48" customFormat="false" ht="12.75" hidden="false" customHeight="true" outlineLevel="0" collapsed="false">
      <c r="A48" s="79" t="s">
        <v>172</v>
      </c>
      <c r="B48" s="79"/>
      <c r="C48" s="84"/>
      <c r="D48" s="80"/>
      <c r="E48" s="80"/>
      <c r="F48" s="80"/>
      <c r="G48" s="80"/>
      <c r="H48" s="80"/>
    </row>
    <row r="49" customFormat="false" ht="12.75" hidden="false" customHeight="true" outlineLevel="0" collapsed="false">
      <c r="A49" s="81" t="s">
        <v>173</v>
      </c>
      <c r="B49" s="81"/>
      <c r="C49" s="81"/>
      <c r="D49" s="81"/>
      <c r="E49" s="81"/>
      <c r="F49" s="81"/>
      <c r="G49" s="81"/>
      <c r="H49" s="81"/>
    </row>
    <row r="50" customFormat="false" ht="12.75" hidden="false" customHeight="true" outlineLevel="0" collapsed="false">
      <c r="A50" s="82" t="s">
        <v>168</v>
      </c>
      <c r="B50" s="82"/>
      <c r="C50" s="82"/>
      <c r="D50" s="82"/>
      <c r="E50" s="82"/>
      <c r="F50" s="82"/>
      <c r="G50" s="82"/>
      <c r="H50" s="82"/>
    </row>
    <row r="51" customFormat="false" ht="12.75" hidden="false" customHeight="true" outlineLevel="0" collapsed="false">
      <c r="A51" s="83"/>
      <c r="B51" s="84"/>
      <c r="C51" s="84"/>
      <c r="D51" s="80"/>
      <c r="E51" s="80"/>
      <c r="F51" s="80"/>
      <c r="G51" s="80"/>
      <c r="H51" s="80"/>
    </row>
    <row r="52" customFormat="false" ht="12.75" hidden="false" customHeight="true" outlineLevel="0" collapsed="false">
      <c r="A52" s="79" t="s">
        <v>246</v>
      </c>
      <c r="B52" s="79"/>
      <c r="C52" s="84"/>
      <c r="D52" s="80"/>
      <c r="E52" s="80"/>
      <c r="F52" s="80"/>
      <c r="G52" s="80"/>
      <c r="H52" s="80"/>
    </row>
    <row r="53" s="86" customFormat="true" ht="12.75" hidden="false" customHeight="true" outlineLevel="0" collapsed="false">
      <c r="A53" s="81" t="s">
        <v>247</v>
      </c>
      <c r="B53" s="81"/>
      <c r="C53" s="81"/>
      <c r="D53" s="81"/>
      <c r="E53" s="81"/>
      <c r="F53" s="81"/>
      <c r="G53" s="81"/>
      <c r="H53" s="8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="86" customFormat="true" ht="12.75" hidden="false" customHeight="true" outlineLevel="0" collapsed="false">
      <c r="A54" s="82" t="s">
        <v>168</v>
      </c>
      <c r="B54" s="82"/>
      <c r="C54" s="82"/>
      <c r="D54" s="82"/>
      <c r="E54" s="82"/>
      <c r="F54" s="82"/>
      <c r="G54" s="82"/>
      <c r="H54" s="8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="86" customFormat="true" ht="12.75" hidden="false" customHeight="true" outlineLevel="0" collapsed="false">
      <c r="A55" s="83"/>
      <c r="B55" s="84"/>
      <c r="C55" s="84"/>
      <c r="D55" s="80"/>
      <c r="E55" s="80"/>
      <c r="F55" s="80"/>
      <c r="G55" s="80"/>
      <c r="H55" s="80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="86" customFormat="true" ht="12.75" hidden="false" customHeight="true" outlineLevel="0" collapsed="false">
      <c r="A56" s="79" t="s">
        <v>248</v>
      </c>
      <c r="B56" s="79"/>
      <c r="C56" s="84"/>
      <c r="D56" s="80"/>
      <c r="E56" s="80"/>
      <c r="F56" s="80"/>
      <c r="G56" s="80"/>
      <c r="H56" s="80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="86" customFormat="true" ht="12.75" hidden="false" customHeight="true" outlineLevel="0" collapsed="false">
      <c r="A57" s="81" t="s">
        <v>249</v>
      </c>
      <c r="B57" s="81"/>
      <c r="C57" s="81"/>
      <c r="D57" s="81"/>
      <c r="E57" s="81"/>
      <c r="F57" s="81"/>
      <c r="G57" s="81"/>
      <c r="H57" s="8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="86" customFormat="true" ht="12.75" hidden="false" customHeight="true" outlineLevel="0" collapsed="false">
      <c r="A58" s="82" t="s">
        <v>168</v>
      </c>
      <c r="B58" s="82"/>
      <c r="C58" s="82"/>
      <c r="D58" s="82"/>
      <c r="E58" s="82"/>
      <c r="F58" s="82"/>
      <c r="G58" s="82"/>
      <c r="H58" s="8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</sheetData>
  <mergeCells count="29">
    <mergeCell ref="A1:D1"/>
    <mergeCell ref="B4:I4"/>
    <mergeCell ref="B5:I5"/>
    <mergeCell ref="A8:C8"/>
    <mergeCell ref="D8:I8"/>
    <mergeCell ref="D9:I9"/>
    <mergeCell ref="A11:C11"/>
    <mergeCell ref="D11:I11"/>
    <mergeCell ref="A13:C13"/>
    <mergeCell ref="A15:C15"/>
    <mergeCell ref="A17:C17"/>
    <mergeCell ref="A19:J19"/>
    <mergeCell ref="A21:A22"/>
    <mergeCell ref="B21:B22"/>
    <mergeCell ref="C21:C22"/>
    <mergeCell ref="D21:H21"/>
    <mergeCell ref="I21:I22"/>
    <mergeCell ref="J21:J22"/>
    <mergeCell ref="K29:P29"/>
    <mergeCell ref="K30:P30"/>
    <mergeCell ref="K32:P32"/>
    <mergeCell ref="A45:H45"/>
    <mergeCell ref="A46:H46"/>
    <mergeCell ref="A49:H49"/>
    <mergeCell ref="A50:H50"/>
    <mergeCell ref="A53:H53"/>
    <mergeCell ref="A54:H54"/>
    <mergeCell ref="A57:H57"/>
    <mergeCell ref="A58:H58"/>
  </mergeCells>
  <printOptions headings="false" gridLines="false" gridLinesSet="true" horizontalCentered="false" verticalCentered="false"/>
  <pageMargins left="0.354166666666667" right="0.354166666666667" top="0.354166666666667" bottom="0.354166666666667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E58"/>
  <sheetViews>
    <sheetView showFormulas="false" showGridLines="true" showRowColHeaders="true" showZeros="true" rightToLeft="false" tabSelected="false" showOutlineSymbols="true" defaultGridColor="true" view="pageBreakPreview" topLeftCell="A7" colorId="64" zoomScale="70" zoomScaleNormal="85" zoomScalePageLayoutView="70" workbookViewId="0">
      <selection pane="topLeft" activeCell="A19" activeCellId="0" sqref="A19"/>
    </sheetView>
  </sheetViews>
  <sheetFormatPr defaultColWidth="9.1484375" defaultRowHeight="12.75" zeroHeight="false" outlineLevelRow="0" outlineLevelCol="0"/>
  <cols>
    <col collapsed="false" customWidth="true" hidden="false" outlineLevel="0" max="1" min="1" style="86" width="5.71"/>
    <col collapsed="false" customWidth="true" hidden="false" outlineLevel="0" max="2" min="2" style="86" width="11.57"/>
    <col collapsed="false" customWidth="true" hidden="false" outlineLevel="0" max="3" min="3" style="86" width="40.71"/>
    <col collapsed="false" customWidth="true" hidden="false" outlineLevel="0" max="10" min="4" style="86" width="12.71"/>
    <col collapsed="false" customWidth="false" hidden="false" outlineLevel="0" max="11" min="11" style="1" width="9.14"/>
    <col collapsed="false" customWidth="true" hidden="false" outlineLevel="0" max="12" min="12" style="1" width="12.15"/>
    <col collapsed="false" customWidth="true" hidden="false" outlineLevel="0" max="13" min="13" style="1" width="16"/>
    <col collapsed="false" customWidth="true" hidden="false" outlineLevel="0" max="14" min="14" style="1" width="13.57"/>
    <col collapsed="false" customWidth="false" hidden="false" outlineLevel="0" max="16" min="15" style="1" width="9.14"/>
    <col collapsed="false" customWidth="true" hidden="false" outlineLevel="0" max="17" min="17" style="1" width="13.57"/>
    <col collapsed="false" customWidth="false" hidden="false" outlineLevel="0" max="18" min="18" style="1" width="9.14"/>
    <col collapsed="false" customWidth="true" hidden="false" outlineLevel="0" max="19" min="19" style="1" width="14.86"/>
    <col collapsed="false" customWidth="false" hidden="false" outlineLevel="0" max="29" min="20" style="1" width="9.14"/>
    <col collapsed="false" customWidth="true" hidden="true" outlineLevel="0" max="30" min="30" style="1" width="11.53"/>
    <col collapsed="false" customWidth="true" hidden="true" outlineLevel="0" max="31" min="31" style="1" width="72.71"/>
    <col collapsed="false" customWidth="true" hidden="true" outlineLevel="0" max="33" min="32" style="1" width="11.53"/>
    <col collapsed="false" customWidth="false" hidden="false" outlineLevel="0" max="16384" min="34" style="1" width="9.14"/>
  </cols>
  <sheetData>
    <row r="1" customFormat="false" ht="12.75" hidden="false" customHeight="true" outlineLevel="0" collapsed="false">
      <c r="A1" s="87"/>
      <c r="B1" s="87"/>
      <c r="C1" s="87"/>
      <c r="D1" s="87"/>
    </row>
    <row r="2" customFormat="false" ht="13.5" hidden="false" customHeight="true" outlineLevel="0" collapsed="false">
      <c r="A2" s="88"/>
      <c r="B2" s="88"/>
      <c r="C2" s="88"/>
      <c r="D2" s="88"/>
      <c r="E2" s="88"/>
      <c r="F2" s="88"/>
      <c r="G2" s="88"/>
      <c r="H2" s="88"/>
      <c r="I2" s="89"/>
      <c r="J2" s="90" t="s">
        <v>196</v>
      </c>
    </row>
    <row r="3" customFormat="false" ht="13.5" hidden="false" customHeight="true" outlineLevel="0" collapsed="false">
      <c r="A3" s="91"/>
      <c r="B3" s="89"/>
      <c r="C3" s="89"/>
      <c r="D3" s="89"/>
      <c r="E3" s="89"/>
      <c r="F3" s="89"/>
      <c r="G3" s="89"/>
      <c r="H3" s="89"/>
      <c r="I3" s="89"/>
      <c r="J3" s="89"/>
    </row>
    <row r="4" customFormat="false" ht="57" hidden="false" customHeight="true" outlineLevel="0" collapsed="false">
      <c r="A4" s="92"/>
      <c r="B4" s="93" t="s">
        <v>11</v>
      </c>
      <c r="C4" s="93"/>
      <c r="D4" s="93"/>
      <c r="E4" s="93"/>
      <c r="F4" s="93"/>
      <c r="G4" s="93"/>
      <c r="H4" s="93"/>
      <c r="I4" s="93"/>
      <c r="J4" s="92"/>
    </row>
    <row r="5" customFormat="false" ht="13.5" hidden="false" customHeight="true" outlineLevel="0" collapsed="false">
      <c r="A5" s="92"/>
      <c r="B5" s="94" t="s">
        <v>197</v>
      </c>
      <c r="C5" s="94"/>
      <c r="D5" s="94"/>
      <c r="E5" s="94"/>
      <c r="F5" s="94"/>
      <c r="G5" s="94"/>
      <c r="H5" s="94"/>
      <c r="I5" s="94"/>
      <c r="J5" s="92"/>
    </row>
    <row r="6" customFormat="false" ht="13.5" hidden="false" customHeight="true" outlineLevel="0" collapsed="false">
      <c r="A6" s="91"/>
      <c r="B6" s="89"/>
      <c r="C6" s="89"/>
      <c r="D6" s="89"/>
      <c r="E6" s="89"/>
      <c r="F6" s="89"/>
      <c r="G6" s="89"/>
      <c r="H6" s="89"/>
      <c r="I6" s="89"/>
      <c r="J6" s="89"/>
    </row>
    <row r="7" customFormat="false" ht="13.5" hidden="false" customHeight="true" outlineLevel="0" collapsed="false">
      <c r="A7" s="95"/>
      <c r="B7" s="95"/>
      <c r="C7" s="95"/>
      <c r="D7" s="89"/>
      <c r="E7" s="89"/>
      <c r="F7" s="89"/>
      <c r="G7" s="89"/>
      <c r="H7" s="89"/>
      <c r="I7" s="89"/>
      <c r="J7" s="89"/>
    </row>
    <row r="8" customFormat="false" ht="15" hidden="false" customHeight="true" outlineLevel="0" collapsed="false">
      <c r="A8" s="97" t="s">
        <v>198</v>
      </c>
      <c r="B8" s="97"/>
      <c r="C8" s="97"/>
      <c r="D8" s="98" t="s">
        <v>89</v>
      </c>
      <c r="E8" s="98"/>
      <c r="F8" s="98"/>
      <c r="G8" s="98"/>
      <c r="H8" s="98"/>
      <c r="I8" s="98"/>
      <c r="J8" s="99"/>
    </row>
    <row r="9" customFormat="false" ht="13.5" hidden="false" customHeight="true" outlineLevel="0" collapsed="false">
      <c r="A9" s="95"/>
      <c r="B9" s="95"/>
      <c r="C9" s="89"/>
      <c r="D9" s="100" t="s">
        <v>200</v>
      </c>
      <c r="E9" s="100"/>
      <c r="F9" s="100"/>
      <c r="G9" s="100"/>
      <c r="H9" s="100"/>
      <c r="I9" s="100"/>
      <c r="J9" s="89"/>
    </row>
    <row r="10" customFormat="false" ht="13.5" hidden="false" customHeight="true" outlineLevel="0" collapsed="false">
      <c r="A10" s="91"/>
      <c r="B10" s="89"/>
      <c r="C10" s="89"/>
      <c r="D10" s="89"/>
      <c r="E10" s="89"/>
      <c r="F10" s="89"/>
      <c r="G10" s="89"/>
      <c r="H10" s="89"/>
      <c r="I10" s="89"/>
      <c r="J10" s="89"/>
    </row>
    <row r="11" customFormat="false" ht="54" hidden="false" customHeight="true" outlineLevel="0" collapsed="false">
      <c r="A11" s="103" t="s">
        <v>201</v>
      </c>
      <c r="B11" s="103"/>
      <c r="C11" s="103"/>
      <c r="D11" s="104" t="s">
        <v>264</v>
      </c>
      <c r="E11" s="104"/>
      <c r="F11" s="104"/>
      <c r="G11" s="104"/>
      <c r="H11" s="104"/>
      <c r="I11" s="104"/>
      <c r="J11" s="92"/>
      <c r="AE11" s="107"/>
    </row>
    <row r="12" customFormat="false" ht="13.5" hidden="false" customHeight="true" outlineLevel="0" collapsed="false">
      <c r="A12" s="91"/>
      <c r="B12" s="89"/>
      <c r="C12" s="89"/>
      <c r="D12" s="89"/>
      <c r="E12" s="89"/>
      <c r="F12" s="89"/>
      <c r="G12" s="89"/>
      <c r="H12" s="89"/>
      <c r="I12" s="89"/>
      <c r="J12" s="89"/>
    </row>
    <row r="13" customFormat="false" ht="13.5" hidden="false" customHeight="true" outlineLevel="0" collapsed="false">
      <c r="A13" s="103" t="s">
        <v>15</v>
      </c>
      <c r="B13" s="103"/>
      <c r="C13" s="103"/>
      <c r="D13" s="108" t="n">
        <f aca="false">H36</f>
        <v>654.44848</v>
      </c>
      <c r="E13" s="109" t="s">
        <v>202</v>
      </c>
      <c r="F13" s="110"/>
      <c r="G13" s="89"/>
      <c r="H13" s="89"/>
      <c r="I13" s="89"/>
      <c r="J13" s="89"/>
    </row>
    <row r="14" customFormat="false" ht="13.5" hidden="false" customHeight="true" outlineLevel="0" collapsed="false">
      <c r="A14" s="111"/>
      <c r="B14" s="112"/>
      <c r="C14" s="112"/>
      <c r="D14" s="113"/>
      <c r="E14" s="109"/>
      <c r="F14" s="89"/>
      <c r="G14" s="89"/>
      <c r="H14" s="89"/>
      <c r="I14" s="89"/>
      <c r="J14" s="89"/>
    </row>
    <row r="15" customFormat="false" ht="13.5" hidden="false" customHeight="true" outlineLevel="0" collapsed="false">
      <c r="A15" s="103" t="s">
        <v>203</v>
      </c>
      <c r="B15" s="103"/>
      <c r="C15" s="103"/>
      <c r="D15" s="108" t="n">
        <f aca="false">I36</f>
        <v>0</v>
      </c>
      <c r="E15" s="109" t="s">
        <v>202</v>
      </c>
      <c r="F15" s="110"/>
      <c r="G15" s="89"/>
      <c r="H15" s="89"/>
      <c r="I15" s="89"/>
      <c r="J15" s="89"/>
    </row>
    <row r="16" customFormat="false" ht="13.5" hidden="false" customHeight="true" outlineLevel="0" collapsed="false">
      <c r="A16" s="91"/>
      <c r="B16" s="89"/>
      <c r="C16" s="89"/>
      <c r="D16" s="113"/>
      <c r="E16" s="109"/>
      <c r="F16" s="89"/>
      <c r="G16" s="89"/>
      <c r="H16" s="89"/>
      <c r="I16" s="89"/>
      <c r="J16" s="89"/>
    </row>
    <row r="17" customFormat="false" ht="13.5" hidden="false" customHeight="true" outlineLevel="0" collapsed="false">
      <c r="A17" s="103" t="s">
        <v>204</v>
      </c>
      <c r="B17" s="103"/>
      <c r="C17" s="103"/>
      <c r="D17" s="108" t="n">
        <f aca="false">D13/L17</f>
        <v>0.521265217045002</v>
      </c>
      <c r="E17" s="109" t="s">
        <v>205</v>
      </c>
      <c r="F17" s="113"/>
      <c r="G17" s="89"/>
      <c r="H17" s="89"/>
      <c r="I17" s="89"/>
      <c r="J17" s="89"/>
      <c r="L17" s="1" t="n">
        <v>1255.5</v>
      </c>
      <c r="M17" s="1" t="s">
        <v>252</v>
      </c>
    </row>
    <row r="18" customFormat="false" ht="13.5" hidden="false" customHeight="true" outlineLevel="0" collapsed="false">
      <c r="A18" s="91"/>
      <c r="B18" s="89"/>
      <c r="C18" s="89"/>
      <c r="D18" s="89"/>
      <c r="E18" s="89"/>
      <c r="F18" s="89"/>
      <c r="G18" s="89"/>
      <c r="H18" s="89"/>
      <c r="I18" s="89"/>
      <c r="J18" s="89"/>
    </row>
    <row r="19" customFormat="false" ht="13.5" hidden="false" customHeight="true" outlineLevel="0" collapsed="false">
      <c r="A19" s="103" t="s">
        <v>250</v>
      </c>
      <c r="B19" s="103"/>
      <c r="C19" s="103"/>
      <c r="D19" s="103"/>
      <c r="E19" s="103"/>
      <c r="F19" s="103"/>
      <c r="G19" s="103"/>
      <c r="H19" s="103"/>
      <c r="I19" s="103"/>
      <c r="J19" s="103"/>
      <c r="L19" s="102"/>
      <c r="M19" s="102"/>
    </row>
    <row r="20" customFormat="false" ht="13.5" hidden="false" customHeight="true" outlineLevel="0" collapsed="false">
      <c r="A20" s="89"/>
      <c r="B20" s="89"/>
      <c r="C20" s="89"/>
      <c r="D20" s="89"/>
      <c r="E20" s="89"/>
      <c r="F20" s="89"/>
      <c r="G20" s="89"/>
      <c r="H20" s="89"/>
      <c r="I20" s="89"/>
      <c r="J20" s="89"/>
      <c r="L20" s="106"/>
      <c r="M20" s="106"/>
    </row>
    <row r="21" customFormat="false" ht="13.5" hidden="false" customHeight="true" outlineLevel="0" collapsed="false">
      <c r="A21" s="114" t="s">
        <v>207</v>
      </c>
      <c r="B21" s="114" t="s">
        <v>208</v>
      </c>
      <c r="C21" s="114" t="s">
        <v>209</v>
      </c>
      <c r="D21" s="114" t="s">
        <v>15</v>
      </c>
      <c r="E21" s="114"/>
      <c r="F21" s="114"/>
      <c r="G21" s="114"/>
      <c r="H21" s="114"/>
      <c r="I21" s="114" t="s">
        <v>210</v>
      </c>
      <c r="J21" s="114" t="s">
        <v>211</v>
      </c>
      <c r="L21" s="106"/>
      <c r="M21" s="106"/>
    </row>
    <row r="22" customFormat="false" ht="48.75" hidden="false" customHeight="true" outlineLevel="0" collapsed="false">
      <c r="A22" s="114"/>
      <c r="B22" s="114"/>
      <c r="C22" s="114"/>
      <c r="D22" s="114" t="s">
        <v>212</v>
      </c>
      <c r="E22" s="114" t="s">
        <v>213</v>
      </c>
      <c r="F22" s="114" t="s">
        <v>214</v>
      </c>
      <c r="G22" s="114" t="s">
        <v>215</v>
      </c>
      <c r="H22" s="114" t="s">
        <v>216</v>
      </c>
      <c r="I22" s="114"/>
      <c r="J22" s="114"/>
      <c r="L22" s="106"/>
      <c r="M22" s="106"/>
      <c r="N22" s="42" t="n">
        <v>68.26</v>
      </c>
      <c r="O22" s="42" t="n">
        <v>426.01</v>
      </c>
    </row>
    <row r="23" customFormat="false" ht="13.5" hidden="false" customHeight="true" outlineLevel="0" collapsed="false">
      <c r="A23" s="116" t="n">
        <v>1</v>
      </c>
      <c r="B23" s="116" t="n">
        <v>2</v>
      </c>
      <c r="C23" s="116" t="n">
        <v>3</v>
      </c>
      <c r="D23" s="116" t="n">
        <v>4</v>
      </c>
      <c r="E23" s="116" t="n">
        <v>5</v>
      </c>
      <c r="F23" s="116" t="n">
        <v>6</v>
      </c>
      <c r="G23" s="116" t="n">
        <v>7</v>
      </c>
      <c r="H23" s="116" t="n">
        <v>8</v>
      </c>
      <c r="I23" s="116" t="n">
        <v>9</v>
      </c>
      <c r="J23" s="116" t="n">
        <v>10</v>
      </c>
      <c r="L23" s="106"/>
      <c r="M23" s="106"/>
      <c r="N23" s="46" t="n">
        <v>0</v>
      </c>
      <c r="O23" s="46" t="n">
        <v>0</v>
      </c>
    </row>
    <row r="24" customFormat="false" ht="13.5" hidden="false" customHeight="true" outlineLevel="0" collapsed="false">
      <c r="A24" s="120" t="n">
        <v>1</v>
      </c>
      <c r="B24" s="121"/>
      <c r="C24" s="25" t="s">
        <v>265</v>
      </c>
      <c r="D24" s="122"/>
      <c r="E24" s="122"/>
      <c r="F24" s="122"/>
      <c r="G24" s="122"/>
      <c r="H24" s="122"/>
      <c r="I24" s="122"/>
      <c r="J24" s="123" t="n">
        <f aca="false">(H25+H26+H27)/$L$17</f>
        <v>0.0025752528872959</v>
      </c>
      <c r="K24" s="177"/>
      <c r="L24" s="106"/>
      <c r="M24" s="106"/>
      <c r="N24" s="46" t="n">
        <v>0</v>
      </c>
      <c r="O24" s="46" t="n">
        <v>0</v>
      </c>
    </row>
    <row r="25" customFormat="false" ht="13.5" hidden="false" customHeight="true" outlineLevel="0" collapsed="false">
      <c r="A25" s="120"/>
      <c r="B25" s="121" t="s">
        <v>266</v>
      </c>
      <c r="C25" s="30" t="s">
        <v>41</v>
      </c>
      <c r="D25" s="127" t="n">
        <v>0</v>
      </c>
      <c r="E25" s="127" t="n">
        <v>0</v>
      </c>
      <c r="F25" s="127" t="n">
        <v>0</v>
      </c>
      <c r="G25" s="127" t="n">
        <v>0</v>
      </c>
      <c r="H25" s="127" t="n">
        <f aca="false">SUM(D25:G25)</f>
        <v>0</v>
      </c>
      <c r="I25" s="128" t="n">
        <v>0</v>
      </c>
      <c r="J25" s="123"/>
      <c r="L25" s="106"/>
      <c r="M25" s="106"/>
      <c r="N25" s="46" t="n">
        <v>0</v>
      </c>
      <c r="O25" s="46" t="n">
        <v>0</v>
      </c>
    </row>
    <row r="26" customFormat="false" ht="13.5" hidden="false" customHeight="true" outlineLevel="0" collapsed="false">
      <c r="A26" s="120"/>
      <c r="B26" s="121"/>
      <c r="C26" s="38" t="s">
        <v>42</v>
      </c>
      <c r="D26" s="220" t="n">
        <v>0</v>
      </c>
      <c r="E26" s="220" t="n">
        <v>0</v>
      </c>
      <c r="F26" s="220" t="n">
        <v>0</v>
      </c>
      <c r="G26" s="220" t="n">
        <v>0</v>
      </c>
      <c r="H26" s="220" t="n">
        <f aca="false">(SUM(D26:G26))</f>
        <v>0</v>
      </c>
      <c r="I26" s="220" t="n">
        <v>0</v>
      </c>
      <c r="J26" s="123"/>
      <c r="L26" s="225"/>
      <c r="N26" s="46" t="n">
        <v>68.26</v>
      </c>
      <c r="O26" s="46" t="n">
        <v>426.01</v>
      </c>
    </row>
    <row r="27" customFormat="false" ht="13.5" hidden="false" customHeight="true" outlineLevel="0" collapsed="false">
      <c r="A27" s="120"/>
      <c r="B27" s="121"/>
      <c r="C27" s="39" t="s">
        <v>43</v>
      </c>
      <c r="D27" s="127" t="n">
        <v>0</v>
      </c>
      <c r="E27" s="127" t="n">
        <v>0</v>
      </c>
      <c r="F27" s="127" t="n">
        <v>0</v>
      </c>
      <c r="G27" s="127" t="n">
        <v>3.23323</v>
      </c>
      <c r="H27" s="127" t="n">
        <f aca="false">SUM(D27:G27)</f>
        <v>3.23323</v>
      </c>
      <c r="I27" s="127" t="n">
        <v>0</v>
      </c>
      <c r="J27" s="123"/>
      <c r="L27" s="213"/>
      <c r="N27" s="46" t="n">
        <v>0</v>
      </c>
      <c r="O27" s="46" t="n">
        <v>0</v>
      </c>
    </row>
    <row r="28" customFormat="false" ht="18.75" hidden="false" customHeight="true" outlineLevel="0" collapsed="false">
      <c r="A28" s="120" t="n">
        <v>2</v>
      </c>
      <c r="B28" s="121"/>
      <c r="C28" s="25" t="s">
        <v>267</v>
      </c>
      <c r="D28" s="128"/>
      <c r="E28" s="128"/>
      <c r="F28" s="128"/>
      <c r="G28" s="128"/>
      <c r="H28" s="128"/>
      <c r="I28" s="128"/>
      <c r="J28" s="123" t="n">
        <f aca="false">(H29+H30+H31)/$L$17</f>
        <v>0.399606276383911</v>
      </c>
      <c r="K28" s="177"/>
      <c r="L28" s="125"/>
      <c r="M28" s="125"/>
    </row>
    <row r="29" customFormat="false" ht="15" hidden="false" customHeight="true" outlineLevel="0" collapsed="false">
      <c r="A29" s="120"/>
      <c r="B29" s="121" t="s">
        <v>268</v>
      </c>
      <c r="C29" s="30" t="s">
        <v>41</v>
      </c>
      <c r="D29" s="127" t="n">
        <v>0</v>
      </c>
      <c r="E29" s="127" t="n">
        <v>0</v>
      </c>
      <c r="F29" s="127" t="n">
        <v>0</v>
      </c>
      <c r="G29" s="127" t="n">
        <v>0</v>
      </c>
      <c r="H29" s="127" t="n">
        <f aca="false">SUM(D29:G29)</f>
        <v>0</v>
      </c>
      <c r="I29" s="128" t="n">
        <v>0</v>
      </c>
      <c r="J29" s="123"/>
      <c r="K29" s="184"/>
      <c r="L29" s="184"/>
      <c r="M29" s="184"/>
      <c r="N29" s="184"/>
      <c r="O29" s="184"/>
      <c r="P29" s="184"/>
      <c r="Q29" s="133"/>
      <c r="R29" s="133"/>
      <c r="S29" s="138"/>
    </row>
    <row r="30" customFormat="false" ht="15" hidden="false" customHeight="true" outlineLevel="0" collapsed="false">
      <c r="A30" s="120"/>
      <c r="B30" s="121"/>
      <c r="C30" s="38" t="s">
        <v>42</v>
      </c>
      <c r="D30" s="220" t="n">
        <v>0</v>
      </c>
      <c r="E30" s="220" t="n">
        <v>0</v>
      </c>
      <c r="F30" s="220" t="n">
        <v>0</v>
      </c>
      <c r="G30" s="220" t="n">
        <v>0</v>
      </c>
      <c r="H30" s="137" t="n">
        <f aca="false">SUM(D30:G30)</f>
        <v>0</v>
      </c>
      <c r="I30" s="220" t="n">
        <v>0</v>
      </c>
      <c r="J30" s="123"/>
      <c r="K30" s="184"/>
      <c r="L30" s="184"/>
      <c r="M30" s="184"/>
      <c r="N30" s="184"/>
      <c r="O30" s="184"/>
      <c r="P30" s="184"/>
      <c r="Q30" s="133"/>
      <c r="R30" s="133"/>
      <c r="S30" s="138"/>
    </row>
    <row r="31" customFormat="false" ht="15" hidden="false" customHeight="true" outlineLevel="0" collapsed="false">
      <c r="A31" s="120"/>
      <c r="B31" s="121"/>
      <c r="C31" s="39" t="s">
        <v>43</v>
      </c>
      <c r="D31" s="127" t="n">
        <v>0</v>
      </c>
      <c r="E31" s="127" t="n">
        <v>0</v>
      </c>
      <c r="F31" s="127" t="n">
        <v>0</v>
      </c>
      <c r="G31" s="127" t="n">
        <v>501.70568</v>
      </c>
      <c r="H31" s="127" t="n">
        <f aca="false">SUM(D31:G31)</f>
        <v>501.70568</v>
      </c>
      <c r="I31" s="127" t="n">
        <v>0</v>
      </c>
      <c r="J31" s="123"/>
      <c r="K31" s="184"/>
      <c r="L31" s="184"/>
      <c r="M31" s="184"/>
      <c r="N31" s="184"/>
      <c r="O31" s="184"/>
      <c r="P31" s="184"/>
      <c r="Q31" s="133"/>
      <c r="R31" s="133"/>
      <c r="S31" s="138"/>
    </row>
    <row r="32" customFormat="false" ht="15" hidden="false" customHeight="true" outlineLevel="0" collapsed="false">
      <c r="A32" s="120" t="n">
        <v>3</v>
      </c>
      <c r="B32" s="121"/>
      <c r="C32" s="25" t="s">
        <v>269</v>
      </c>
      <c r="D32" s="128"/>
      <c r="E32" s="128"/>
      <c r="F32" s="128"/>
      <c r="G32" s="128"/>
      <c r="H32" s="128"/>
      <c r="I32" s="128"/>
      <c r="J32" s="123" t="n">
        <f aca="false">(H33+H34+H35)/$L$17</f>
        <v>0.119083687773795</v>
      </c>
      <c r="K32" s="184"/>
      <c r="L32" s="184"/>
      <c r="M32" s="184"/>
      <c r="N32" s="184"/>
      <c r="O32" s="184"/>
      <c r="P32" s="184"/>
      <c r="Q32" s="133"/>
      <c r="R32" s="133"/>
      <c r="S32" s="138"/>
    </row>
    <row r="33" customFormat="false" ht="15" hidden="false" customHeight="true" outlineLevel="0" collapsed="false">
      <c r="A33" s="120"/>
      <c r="B33" s="121" t="s">
        <v>270</v>
      </c>
      <c r="C33" s="30" t="s">
        <v>41</v>
      </c>
      <c r="D33" s="127" t="n">
        <v>0</v>
      </c>
      <c r="E33" s="127" t="n">
        <v>0</v>
      </c>
      <c r="F33" s="127" t="n">
        <v>0</v>
      </c>
      <c r="G33" s="127" t="n">
        <v>0</v>
      </c>
      <c r="H33" s="127" t="n">
        <f aca="false">SUM(D33:G33)</f>
        <v>0</v>
      </c>
      <c r="I33" s="128" t="n">
        <v>0</v>
      </c>
      <c r="J33" s="123"/>
      <c r="K33" s="125"/>
      <c r="L33" s="125"/>
      <c r="M33" s="144"/>
      <c r="N33" s="144"/>
      <c r="O33" s="144"/>
      <c r="P33" s="144"/>
      <c r="Q33" s="215"/>
      <c r="R33" s="215"/>
      <c r="S33" s="214"/>
    </row>
    <row r="34" customFormat="false" ht="15" hidden="false" customHeight="true" outlineLevel="0" collapsed="false">
      <c r="A34" s="120"/>
      <c r="B34" s="121"/>
      <c r="C34" s="38" t="s">
        <v>42</v>
      </c>
      <c r="D34" s="220" t="n">
        <v>0</v>
      </c>
      <c r="E34" s="220" t="n">
        <v>0</v>
      </c>
      <c r="F34" s="220" t="n">
        <v>0</v>
      </c>
      <c r="G34" s="220" t="n">
        <v>0</v>
      </c>
      <c r="H34" s="137" t="n">
        <f aca="false">SUM(D34:G34)</f>
        <v>0</v>
      </c>
      <c r="I34" s="220" t="n">
        <v>0</v>
      </c>
      <c r="J34" s="123"/>
      <c r="K34" s="125"/>
      <c r="L34" s="117" t="n">
        <v>22.49</v>
      </c>
      <c r="M34" s="117" t="n">
        <v>133.01</v>
      </c>
      <c r="N34" s="144"/>
      <c r="O34" s="144"/>
      <c r="P34" s="144"/>
      <c r="Q34" s="215"/>
      <c r="R34" s="215"/>
      <c r="S34" s="214"/>
    </row>
    <row r="35" customFormat="false" ht="15" hidden="false" customHeight="true" outlineLevel="0" collapsed="false">
      <c r="A35" s="120"/>
      <c r="B35" s="121"/>
      <c r="C35" s="39" t="s">
        <v>43</v>
      </c>
      <c r="D35" s="127" t="n">
        <v>0</v>
      </c>
      <c r="E35" s="127" t="n">
        <v>0</v>
      </c>
      <c r="F35" s="127" t="n">
        <v>0</v>
      </c>
      <c r="G35" s="127" t="n">
        <v>149.50957</v>
      </c>
      <c r="H35" s="127" t="n">
        <f aca="false">SUM(D35:G35)</f>
        <v>149.50957</v>
      </c>
      <c r="I35" s="127" t="n">
        <v>0</v>
      </c>
      <c r="J35" s="123"/>
      <c r="K35" s="226"/>
      <c r="L35" s="144"/>
      <c r="M35" s="144"/>
      <c r="N35" s="144"/>
      <c r="O35" s="144"/>
      <c r="P35" s="144"/>
      <c r="Q35" s="215"/>
      <c r="R35" s="215"/>
      <c r="S35" s="214"/>
    </row>
    <row r="36" customFormat="false" ht="13.5" hidden="false" customHeight="true" outlineLevel="0" collapsed="false">
      <c r="A36" s="170"/>
      <c r="B36" s="171"/>
      <c r="C36" s="25" t="s">
        <v>245</v>
      </c>
      <c r="D36" s="172" t="n">
        <f aca="false">D37+D38+D39</f>
        <v>0</v>
      </c>
      <c r="E36" s="172" t="n">
        <f aca="false">E37+E38+E39</f>
        <v>0</v>
      </c>
      <c r="F36" s="172" t="n">
        <f aca="false">F37+F38+F39</f>
        <v>0</v>
      </c>
      <c r="G36" s="172" t="n">
        <f aca="false">G37+G38+G39</f>
        <v>654.44848</v>
      </c>
      <c r="H36" s="172" t="n">
        <f aca="false">H37+H38+H39</f>
        <v>654.44848</v>
      </c>
      <c r="I36" s="172" t="n">
        <f aca="false">I37+I38+I39</f>
        <v>0</v>
      </c>
      <c r="J36" s="212"/>
    </row>
    <row r="37" customFormat="false" ht="13.5" hidden="false" customHeight="true" outlineLevel="0" collapsed="false">
      <c r="A37" s="173"/>
      <c r="B37" s="173"/>
      <c r="C37" s="30" t="s">
        <v>41</v>
      </c>
      <c r="D37" s="174" t="n">
        <f aca="false">D25+D29+D33</f>
        <v>0</v>
      </c>
      <c r="E37" s="174" t="n">
        <f aca="false">E25+E29+E33</f>
        <v>0</v>
      </c>
      <c r="F37" s="174" t="n">
        <f aca="false">F25+F29+F33</f>
        <v>0</v>
      </c>
      <c r="G37" s="174" t="n">
        <f aca="false">G25+G29+G33</f>
        <v>0</v>
      </c>
      <c r="H37" s="174" t="n">
        <f aca="false">H25+H29+H33</f>
        <v>0</v>
      </c>
      <c r="I37" s="174" t="n">
        <f aca="false">I25+I29+I33</f>
        <v>0</v>
      </c>
      <c r="J37" s="175"/>
    </row>
    <row r="38" customFormat="false" ht="13.5" hidden="false" customHeight="true" outlineLevel="0" collapsed="false">
      <c r="A38" s="173"/>
      <c r="B38" s="173"/>
      <c r="C38" s="38" t="s">
        <v>42</v>
      </c>
      <c r="D38" s="176" t="n">
        <f aca="false">D26+D30+D34</f>
        <v>0</v>
      </c>
      <c r="E38" s="176" t="n">
        <f aca="false">E26+E30+E34</f>
        <v>0</v>
      </c>
      <c r="F38" s="176" t="n">
        <f aca="false">F26+F30+F34</f>
        <v>0</v>
      </c>
      <c r="G38" s="176" t="n">
        <f aca="false">G26+G30+G34</f>
        <v>0</v>
      </c>
      <c r="H38" s="176" t="n">
        <f aca="false">H26+H30+H34</f>
        <v>0</v>
      </c>
      <c r="I38" s="176" t="n">
        <f aca="false">I26+I30+I34</f>
        <v>0</v>
      </c>
      <c r="J38" s="175"/>
    </row>
    <row r="39" customFormat="false" ht="13.5" hidden="false" customHeight="true" outlineLevel="0" collapsed="false">
      <c r="A39" s="173"/>
      <c r="B39" s="173"/>
      <c r="C39" s="39" t="s">
        <v>43</v>
      </c>
      <c r="D39" s="174" t="n">
        <f aca="false">D27+D31+D35</f>
        <v>0</v>
      </c>
      <c r="E39" s="174" t="n">
        <f aca="false">E27+E31+E35</f>
        <v>0</v>
      </c>
      <c r="F39" s="174" t="n">
        <f aca="false">F27+F31+F35</f>
        <v>0</v>
      </c>
      <c r="G39" s="174" t="n">
        <f aca="false">G27+G31+G35</f>
        <v>654.44848</v>
      </c>
      <c r="H39" s="174" t="n">
        <f aca="false">H27+H31+H35</f>
        <v>654.44848</v>
      </c>
      <c r="I39" s="174" t="n">
        <f aca="false">I27+I31+I35</f>
        <v>0</v>
      </c>
      <c r="J39" s="175"/>
    </row>
    <row r="40" s="1" customFormat="true" ht="12.75" hidden="false" customHeight="true" outlineLevel="0" collapsed="false"/>
    <row r="41" s="1" customFormat="true" ht="12.75" hidden="false" customHeight="true" outlineLevel="0" collapsed="false"/>
    <row r="42" customFormat="false" ht="12.75" hidden="false" customHeight="true" outlineLevel="0" collapsed="false">
      <c r="A42" s="83"/>
      <c r="B42" s="84"/>
      <c r="C42" s="84"/>
      <c r="D42" s="80"/>
      <c r="E42" s="80"/>
      <c r="F42" s="80"/>
      <c r="G42" s="80"/>
      <c r="H42" s="80"/>
    </row>
    <row r="43" customFormat="false" ht="12.75" hidden="false" customHeight="true" outlineLevel="0" collapsed="false">
      <c r="A43" s="83"/>
      <c r="B43" s="84"/>
      <c r="C43" s="84"/>
      <c r="D43" s="80"/>
      <c r="E43" s="80"/>
      <c r="F43" s="80"/>
      <c r="G43" s="80"/>
      <c r="H43" s="80"/>
    </row>
    <row r="44" customFormat="false" ht="12.75" hidden="false" customHeight="true" outlineLevel="0" collapsed="false">
      <c r="A44" s="79" t="s">
        <v>170</v>
      </c>
      <c r="B44" s="79"/>
      <c r="C44" s="79"/>
      <c r="D44" s="80"/>
      <c r="E44" s="80"/>
      <c r="F44" s="80"/>
      <c r="G44" s="80"/>
      <c r="H44" s="80"/>
    </row>
    <row r="45" customFormat="false" ht="12.75" hidden="false" customHeight="true" outlineLevel="0" collapsed="false">
      <c r="A45" s="81" t="s">
        <v>171</v>
      </c>
      <c r="B45" s="81"/>
      <c r="C45" s="81"/>
      <c r="D45" s="81"/>
      <c r="E45" s="81"/>
      <c r="F45" s="81"/>
      <c r="G45" s="81"/>
      <c r="H45" s="81"/>
    </row>
    <row r="46" customFormat="false" ht="12.75" hidden="false" customHeight="true" outlineLevel="0" collapsed="false">
      <c r="A46" s="82" t="s">
        <v>168</v>
      </c>
      <c r="B46" s="82"/>
      <c r="C46" s="82"/>
      <c r="D46" s="82"/>
      <c r="E46" s="82"/>
      <c r="F46" s="82"/>
      <c r="G46" s="82"/>
      <c r="H46" s="82"/>
    </row>
    <row r="47" customFormat="false" ht="12.75" hidden="false" customHeight="true" outlineLevel="0" collapsed="false">
      <c r="A47" s="83"/>
      <c r="B47" s="84"/>
      <c r="C47" s="84"/>
      <c r="D47" s="80"/>
      <c r="E47" s="80"/>
      <c r="F47" s="80"/>
      <c r="G47" s="80"/>
      <c r="H47" s="80"/>
    </row>
    <row r="48" customFormat="false" ht="12.75" hidden="false" customHeight="true" outlineLevel="0" collapsed="false">
      <c r="A48" s="79" t="s">
        <v>172</v>
      </c>
      <c r="B48" s="79"/>
      <c r="C48" s="84"/>
      <c r="D48" s="80"/>
      <c r="E48" s="80"/>
      <c r="F48" s="80"/>
      <c r="G48" s="80"/>
      <c r="H48" s="80"/>
    </row>
    <row r="49" customFormat="false" ht="12.75" hidden="false" customHeight="true" outlineLevel="0" collapsed="false">
      <c r="A49" s="81" t="s">
        <v>173</v>
      </c>
      <c r="B49" s="81"/>
      <c r="C49" s="81"/>
      <c r="D49" s="81"/>
      <c r="E49" s="81"/>
      <c r="F49" s="81"/>
      <c r="G49" s="81"/>
      <c r="H49" s="81"/>
    </row>
    <row r="50" customFormat="false" ht="12.75" hidden="false" customHeight="true" outlineLevel="0" collapsed="false">
      <c r="A50" s="82" t="s">
        <v>168</v>
      </c>
      <c r="B50" s="82"/>
      <c r="C50" s="82"/>
      <c r="D50" s="82"/>
      <c r="E50" s="82"/>
      <c r="F50" s="82"/>
      <c r="G50" s="82"/>
      <c r="H50" s="82"/>
    </row>
    <row r="51" customFormat="false" ht="12.75" hidden="false" customHeight="true" outlineLevel="0" collapsed="false">
      <c r="A51" s="83"/>
      <c r="B51" s="84"/>
      <c r="C51" s="84"/>
      <c r="D51" s="80"/>
      <c r="E51" s="80"/>
      <c r="F51" s="80"/>
      <c r="G51" s="80"/>
      <c r="H51" s="80"/>
    </row>
    <row r="52" customFormat="false" ht="12.75" hidden="false" customHeight="true" outlineLevel="0" collapsed="false">
      <c r="A52" s="79" t="s">
        <v>246</v>
      </c>
      <c r="B52" s="79"/>
      <c r="C52" s="84"/>
      <c r="D52" s="80"/>
      <c r="E52" s="80"/>
      <c r="F52" s="80"/>
      <c r="G52" s="80"/>
      <c r="H52" s="80"/>
    </row>
    <row r="53" s="86" customFormat="true" ht="12.75" hidden="false" customHeight="true" outlineLevel="0" collapsed="false">
      <c r="A53" s="81" t="s">
        <v>247</v>
      </c>
      <c r="B53" s="81"/>
      <c r="C53" s="81"/>
      <c r="D53" s="81"/>
      <c r="E53" s="81"/>
      <c r="F53" s="81"/>
      <c r="G53" s="81"/>
      <c r="H53" s="8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="86" customFormat="true" ht="12.75" hidden="false" customHeight="true" outlineLevel="0" collapsed="false">
      <c r="A54" s="82" t="s">
        <v>168</v>
      </c>
      <c r="B54" s="82"/>
      <c r="C54" s="82"/>
      <c r="D54" s="82"/>
      <c r="E54" s="82"/>
      <c r="F54" s="82"/>
      <c r="G54" s="82"/>
      <c r="H54" s="8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="86" customFormat="true" ht="12.75" hidden="false" customHeight="true" outlineLevel="0" collapsed="false">
      <c r="A55" s="83"/>
      <c r="B55" s="84"/>
      <c r="C55" s="84"/>
      <c r="D55" s="80"/>
      <c r="E55" s="80"/>
      <c r="F55" s="80"/>
      <c r="G55" s="80"/>
      <c r="H55" s="80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="86" customFormat="true" ht="12.75" hidden="false" customHeight="true" outlineLevel="0" collapsed="false">
      <c r="A56" s="79" t="s">
        <v>248</v>
      </c>
      <c r="B56" s="79"/>
      <c r="C56" s="84"/>
      <c r="D56" s="80"/>
      <c r="E56" s="80"/>
      <c r="F56" s="80"/>
      <c r="G56" s="80"/>
      <c r="H56" s="80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="86" customFormat="true" ht="12.75" hidden="false" customHeight="true" outlineLevel="0" collapsed="false">
      <c r="A57" s="81" t="s">
        <v>249</v>
      </c>
      <c r="B57" s="81"/>
      <c r="C57" s="81"/>
      <c r="D57" s="81"/>
      <c r="E57" s="81"/>
      <c r="F57" s="81"/>
      <c r="G57" s="81"/>
      <c r="H57" s="8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="86" customFormat="true" ht="12.75" hidden="false" customHeight="true" outlineLevel="0" collapsed="false">
      <c r="A58" s="82" t="s">
        <v>168</v>
      </c>
      <c r="B58" s="82"/>
      <c r="C58" s="82"/>
      <c r="D58" s="82"/>
      <c r="E58" s="82"/>
      <c r="F58" s="82"/>
      <c r="G58" s="82"/>
      <c r="H58" s="8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</sheetData>
  <mergeCells count="30">
    <mergeCell ref="A1:D1"/>
    <mergeCell ref="B4:I4"/>
    <mergeCell ref="B5:I5"/>
    <mergeCell ref="A8:C8"/>
    <mergeCell ref="D8:I8"/>
    <mergeCell ref="D9:I9"/>
    <mergeCell ref="A11:C11"/>
    <mergeCell ref="D11:I11"/>
    <mergeCell ref="A13:C13"/>
    <mergeCell ref="A15:C15"/>
    <mergeCell ref="A17:C17"/>
    <mergeCell ref="A19:J19"/>
    <mergeCell ref="A21:A22"/>
    <mergeCell ref="B21:B22"/>
    <mergeCell ref="C21:C22"/>
    <mergeCell ref="D21:H21"/>
    <mergeCell ref="I21:I22"/>
    <mergeCell ref="J21:J22"/>
    <mergeCell ref="K29:P29"/>
    <mergeCell ref="K30:P30"/>
    <mergeCell ref="K31:P31"/>
    <mergeCell ref="K32:P32"/>
    <mergeCell ref="A45:H45"/>
    <mergeCell ref="A46:H46"/>
    <mergeCell ref="A49:H49"/>
    <mergeCell ref="A50:H50"/>
    <mergeCell ref="A53:H53"/>
    <mergeCell ref="A54:H54"/>
    <mergeCell ref="A57:H57"/>
    <mergeCell ref="A58:H58"/>
  </mergeCells>
  <printOptions headings="false" gridLines="false" gridLinesSet="true" horizontalCentered="false" verticalCentered="false"/>
  <pageMargins left="0.354166666666667" right="0.354166666666667" top="0.354166666666667" bottom="0.354166666666667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2018-04-03T11:06:25Z</dcterms:created>
  <dc:creator>User2</dc:creator>
  <dc:description/>
  <dc:language>en-US</dc:language>
  <cp:lastModifiedBy>Specialist18</cp:lastModifiedBy>
  <cp:lastPrinted>2026-06-09T11:53:03Z</cp:lastPrinted>
  <dcterms:modified xsi:type="dcterms:W3CDTF">2026-09-28T07:08:01Z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