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Сводка" sheetId="1" state="visible" r:id="rId3"/>
    <sheet name="Смета" sheetId="2" state="visible" r:id="rId4"/>
    <sheet name="Материалы" sheetId="3" state="visible" r:id="rId5"/>
    <sheet name="Основания и цены" sheetId="4" state="hidden" r:id="rId6"/>
    <sheet name="Проверка замечаний" sheetId="5" state="hidden" r:id="rId7"/>
  </sheets>
  <definedNames>
    <definedName function="false" hidden="false" localSheetId="2" name="_xlnm.Print_Area" vbProcedure="false">Материалы!$A$1:$H$151</definedName>
    <definedName function="false" hidden="false" localSheetId="2" name="_xlnm.Print_Titles" vbProcedure="false">Материалы!$A:$D,Материалы!$1:$5</definedName>
    <definedName function="false" hidden="false" localSheetId="3" name="_xlnm.Print_Titles" vbProcedure="false">'Основания и цены'!$A:$C,'Основания и цены'!$1:$9</definedName>
    <definedName function="false" hidden="true" localSheetId="3" name="_xlnm._FilterDatabase" vbProcedure="false">'Основания и цены'!$A$9:$J$32</definedName>
    <definedName function="false" hidden="false" localSheetId="4" name="_xlnm.Print_Titles" vbProcedure="false">'Проверка замечаний'!$A:$C,'Проверка замечаний'!$1:$4</definedName>
    <definedName function="false" hidden="true" localSheetId="4" name="_xlnm._FilterDatabase" vbProcedure="false">'Проверка замечаний'!$A$4:$H$18</definedName>
    <definedName function="false" hidden="false" localSheetId="0" name="_xlnm.Print_Area" vbProcedure="false">Сводка!$A$1:$J$12</definedName>
    <definedName function="false" hidden="false" localSheetId="0" name="_xlnm.Print_Titles" vbProcedure="false">Сводка!$1:$5</definedName>
    <definedName function="false" hidden="false" localSheetId="1" name="_xlnm.Print_Area" vbProcedure="false">Смета!$A$1:$R$295</definedName>
    <definedName function="false" hidden="false" localSheetId="1" name="_xlnm.Print_Titles" vbProcedure="false">Смета!$A:$D,Смета!$1:$4</definedName>
    <definedName function="false" hidden="false" localSheetId="1" name="_xlnm.Print_Titles" vbProcedure="false">Смета!$1:$4,Смета!$A:$D</definedName>
    <definedName function="false" hidden="false" localSheetId="2" name="_xlnm.Print_Titles" vbProcedure="false">Материалы!$1:$5,Материалы!$A:$D</definedName>
    <definedName function="false" hidden="false" localSheetId="3" name="_xlnm.Print_Titles" vbProcedure="false">'Основания и цены'!$1:$9,'Основания и цены'!$A:$C</definedName>
    <definedName function="false" hidden="false" localSheetId="4" name="_xlnm.Print_Titles" vbProcedure="false">'Проверка замечаний'!$1:$4,'Проверка замечаний'!$A:$C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<sst xmlns="http://schemas.openxmlformats.org/spreadsheetml/2006/main" count="3399" uniqueCount="973">
  <si>
    <t xml:space="preserve">СМЕТА ПРЯМЫХ ЗАТРАТ — ЗАКАЗ 8012</t>
  </si>
  <si>
    <t xml:space="preserve">Объект: Москва, муниципальный округ Филимонковский, квартал 157А, з/у 179</t>
  </si>
  <si>
    <t xml:space="preserve">Цены материалов и ставки работ на 22.07.2026, редакция от 03.08.2026 • Москва и Московская область</t>
  </si>
  <si>
    <t xml:space="preserve">Этап</t>
  </si>
  <si>
    <t xml:space="preserve">База труда</t>
  </si>
  <si>
    <t xml:space="preserve">Страховые 30%</t>
  </si>
  <si>
    <t xml:space="preserve">Материалы</t>
  </si>
  <si>
    <t xml:space="preserve">Механизмы</t>
  </si>
  <si>
    <t xml:space="preserve">Доставка</t>
  </si>
  <si>
    <t xml:space="preserve">Итого учтено</t>
  </si>
  <si>
    <t xml:space="preserve">Дополнительные объемы</t>
  </si>
  <si>
    <t xml:space="preserve">Итого с дополнительными объемами</t>
  </si>
  <si>
    <t xml:space="preserve">Доля</t>
  </si>
  <si>
    <t xml:space="preserve">1. Фундамент</t>
  </si>
  <si>
    <t xml:space="preserve">2. Стены, перемычки, армопояса и перекрытие</t>
  </si>
  <si>
    <t xml:space="preserve">3. Кровля</t>
  </si>
  <si>
    <t xml:space="preserve">4. Окна и входная дверь</t>
  </si>
  <si>
    <t xml:space="preserve">5. Отделка цоколя</t>
  </si>
  <si>
    <t xml:space="preserve">ИТОГО</t>
  </si>
  <si>
    <t xml:space="preserve">Контроль: базовый итог сводки должен совпадать с листом «Смета».</t>
  </si>
  <si>
    <t xml:space="preserve">Сверка базового итога</t>
  </si>
  <si>
    <t xml:space="preserve">Сверка резервов</t>
  </si>
  <si>
    <t xml:space="preserve">ЗАКАЗ 8012</t>
  </si>
  <si>
    <t xml:space="preserve">ТРУД, СТРАХОВЫЕ 30% И МАТЕРИАЛЫ</t>
  </si>
  <si>
    <t xml:space="preserve">МЕХАНИЗМЫ И ДОСТАВКА</t>
  </si>
  <si>
    <t xml:space="preserve">ИТОГ И ОСНОВАНИЕ</t>
  </si>
  <si>
    <t xml:space="preserve">Филимонковский, кв. 157А, з/у 179</t>
  </si>
  <si>
    <t xml:space="preserve">Объем, база труда и материалы</t>
  </si>
  <si>
    <t xml:space="preserve">Удельные ставки и суммы ресурсов</t>
  </si>
  <si>
    <t xml:space="preserve">Включение и проверяемое основание</t>
  </si>
  <si>
    <t xml:space="preserve">Расчет: количество × удельная ставка. Объём по проекту — из ведомостей и спецификаций РД (АР/КР/КР0)</t>
  </si>
  <si>
    <t xml:space="preserve">Страховые начисления: 30% от базы труда</t>
  </si>
  <si>
    <t xml:space="preserve">Все суммы в рублях</t>
  </si>
  <si>
    <t xml:space="preserve">Группа</t>
  </si>
  <si>
    <t xml:space="preserve">Код</t>
  </si>
  <si>
    <t xml:space="preserve">Наименование</t>
  </si>
  <si>
    <t xml:space="preserve">Объём
по проекту</t>
  </si>
  <si>
    <t xml:space="preserve">Ед.
проекта</t>
  </si>
  <si>
    <t xml:space="preserve">Ед.
работы</t>
  </si>
  <si>
    <t xml:space="preserve">Работа,
кол-во</t>
  </si>
  <si>
    <t xml:space="preserve">База труда,
руб./ед.</t>
  </si>
  <si>
    <t xml:space="preserve">База труда,
руб.</t>
  </si>
  <si>
    <t xml:space="preserve">Страховые 30%,
руб.</t>
  </si>
  <si>
    <t xml:space="preserve">Материал,
руб./ед.</t>
  </si>
  <si>
    <t xml:space="preserve">Материалы,
руб.</t>
  </si>
  <si>
    <t xml:space="preserve">Механизм,
руб./ед.</t>
  </si>
  <si>
    <t xml:space="preserve">Механизмы,
руб.</t>
  </si>
  <si>
    <t xml:space="preserve">Доставка,
руб./ед.</t>
  </si>
  <si>
    <t xml:space="preserve">Доставка,
руб.</t>
  </si>
  <si>
    <t xml:space="preserve">Всего по строке,
руб.</t>
  </si>
  <si>
    <t xml:space="preserve">Статус</t>
  </si>
  <si>
    <t xml:space="preserve">В базовый итог,
руб.</t>
  </si>
  <si>
    <t xml:space="preserve">Основание / заметка</t>
  </si>
  <si>
    <t xml:space="preserve">1. Подготовительные работы (Подготовка строительной площадки (грубая подготовка площадок под стройматериалы, заезд и развороты) без вывоза грунта и/или различного бытового мусора, подготовка под складирование, доставка материалов для фундамента)</t>
  </si>
  <si>
    <t xml:space="preserve">1</t>
  </si>
  <si>
    <t xml:space="preserve">1.1</t>
  </si>
  <si>
    <t xml:space="preserve">Подготовка строительной площадки (грубая подготовка площадок под стройматериалы, заезд и развороты) без вывоза грунта и/или различного бытового мусора, подготовка под складирование (бревна или доски или песок или щебень и т.д)</t>
  </si>
  <si>
    <t xml:space="preserve">–</t>
  </si>
  <si>
    <t xml:space="preserve">смена</t>
  </si>
  <si>
    <t xml:space="preserve">УЧТЕНО</t>
  </si>
  <si>
    <t xml:space="preserve">LOCAL-KP-2026-07-16; исх. строка 7</t>
  </si>
  <si>
    <t xml:space="preserve">1.2</t>
  </si>
  <si>
    <t xml:space="preserve">Доставка арматуры, проволоки, уголка (фундамент)</t>
  </si>
  <si>
    <t xml:space="preserve">рейс</t>
  </si>
  <si>
    <t xml:space="preserve">LOCAL-KP-2026-07-16; исх. строка 8</t>
  </si>
  <si>
    <t xml:space="preserve">1.3</t>
  </si>
  <si>
    <t xml:space="preserve">Доставка досок для опалубки (фундамент)</t>
  </si>
  <si>
    <t xml:space="preserve">LOCAL-KP-2026-07-16; исх. строка 9</t>
  </si>
  <si>
    <t xml:space="preserve">1.4</t>
  </si>
  <si>
    <t xml:space="preserve">Доставка материалов (утеплитель, гидроизоляция, геотекстиль, дюбеля, клей-пена и тп)</t>
  </si>
  <si>
    <t xml:space="preserve">LOCAL-KP-2026-07-16; исх. строка 10</t>
  </si>
  <si>
    <t xml:space="preserve">Итого (учтено) по подгруппе 1</t>
  </si>
  <si>
    <t xml:space="preserve">ИТОГО УЧТЕНО</t>
  </si>
  <si>
    <t xml:space="preserve">2. Устройство плитного фундамента толщиной 300 мм (В25 W4 F75 П4 (М350), армирование согласно проекту Д-14 и Д-8 А500С шаг 200х200 согласно проекту)</t>
  </si>
  <si>
    <t xml:space="preserve">2</t>
  </si>
  <si>
    <t xml:space="preserve">2.1</t>
  </si>
  <si>
    <t xml:space="preserve">Разработка котлована фундамента дома (черновая-без доработки стенок до проектных отметок) экскаватором с перемещением грунта на участок или ручным способом (совместно с разработкой для отмостки)</t>
  </si>
  <si>
    <t xml:space="preserve">LOCAL-KP-2026-07-16; исх. строка 13</t>
  </si>
  <si>
    <t xml:space="preserve">2.2</t>
  </si>
  <si>
    <t xml:space="preserve">Ручная доработка стенок котлована (стенки, основание) до проектных размеров и отметок</t>
  </si>
  <si>
    <t xml:space="preserve">м2</t>
  </si>
  <si>
    <t xml:space="preserve">LAB-FOUNDATION-AVG; исх. строка 14</t>
  </si>
  <si>
    <t xml:space="preserve">2.3</t>
  </si>
  <si>
    <t xml:space="preserve">Уплотнение земляного/глиняного основания послойно</t>
  </si>
  <si>
    <t xml:space="preserve">LAB-FOUNDATION-AVG; исх. строка 15</t>
  </si>
  <si>
    <t xml:space="preserve">2.4</t>
  </si>
  <si>
    <t xml:space="preserve">Устройство подбетонки толщиной 100 мм под плитой дома (толщ. по проекту)</t>
  </si>
  <si>
    <t xml:space="preserve">м3</t>
  </si>
  <si>
    <t xml:space="preserve">LAB-FOUNDATION-AVG; исх. строка 16 | объём РД: КР0 л.3, плита -0,600, Бетон В7,5</t>
  </si>
  <si>
    <t xml:space="preserve">2.5</t>
  </si>
  <si>
    <t xml:space="preserve">Устройство подбетонки толщиной 100 мм под плитой террасы (толщ. по проекту)</t>
  </si>
  <si>
    <t xml:space="preserve">LAB-FOUNDATION-AVG; исх. строка 17 | объём РД: КР0 л.3, плита -0,400</t>
  </si>
  <si>
    <t xml:space="preserve">2.6</t>
  </si>
  <si>
    <t xml:space="preserve">Устройство подбетонки толщиной 100 мм под плитой крыльца (толщ. по проекту)</t>
  </si>
  <si>
    <t xml:space="preserve">LAB-FOUNDATION-AVG; исх. строка 18 | объём РД: КР0 л.3, плита -0,100</t>
  </si>
  <si>
    <t xml:space="preserve">2.7</t>
  </si>
  <si>
    <t xml:space="preserve">Нанесение праймера по на поверхность подбетонки в 1 слой</t>
  </si>
  <si>
    <t xml:space="preserve">LAB-FOUNDATION-AVG; исх. строка 19</t>
  </si>
  <si>
    <t xml:space="preserve">2.8</t>
  </si>
  <si>
    <t xml:space="preserve">Укладка утеплителя под плитой дома, крыльца и террасы (основание) толщиной 50 мм</t>
  </si>
  <si>
    <t xml:space="preserve">LAB-FOUNDATION-AVG; исх. строка 20</t>
  </si>
  <si>
    <t xml:space="preserve">2.9</t>
  </si>
  <si>
    <t xml:space="preserve">Устройство защитной стяжки M150 толщиной 40 мм под плиту дома</t>
  </si>
  <si>
    <t xml:space="preserve">LAB-FOUNDATION-AVG, MAT-CONCRETE-AVG; исх. строка 21 | объём РД: КР0 л.3: стяжка М150 12,2 м3 / 0,04; DISCOUNT-CLIENT-2026-07-31, минус 20%</t>
  </si>
  <si>
    <t xml:space="preserve">2.10</t>
  </si>
  <si>
    <t xml:space="preserve">Устройство защитной стяжки M150 толщиной 40 мм под плиту террасы</t>
  </si>
  <si>
    <t xml:space="preserve">LAB-FOUNDATION-AVG, MAT-CONCRETE-AVG; исх. строка 22 | объём РД: КР0 л.3: 1,7 м3 / 0,04; DISCOUNT-CLIENT-2026-07-31, минус 20%</t>
  </si>
  <si>
    <t xml:space="preserve">2.11</t>
  </si>
  <si>
    <t xml:space="preserve">Устройство защитной стяжки M150 толщиной 40 мм под плиту крыльца</t>
  </si>
  <si>
    <t xml:space="preserve">LAB-FOUNDATION-AVG, MAT-CONCRETE-AVG; исх. строка 23 | объём РД: КР0 л.3: 0,5 м3 / 0,04; DISCOUNT-CLIENT-2026-07-31, минус 20%</t>
  </si>
  <si>
    <t xml:space="preserve">2.12</t>
  </si>
  <si>
    <t xml:space="preserve">Устройство и разборка опалубки плитного фундамента из обрезных досок (с креплением пленки п/э в траншеях - стенки)</t>
  </si>
  <si>
    <t xml:space="preserve">м²</t>
  </si>
  <si>
    <t xml:space="preserve">LAB-FOUNDATION-AVG; исх. строка 24; 87 м × 0,30 м; одна внешняя грань плиты</t>
  </si>
  <si>
    <t xml:space="preserve">2.13</t>
  </si>
  <si>
    <t xml:space="preserve">Устройство арматурного каркаса плиты дома согласно проекту</t>
  </si>
  <si>
    <t xml:space="preserve">т</t>
  </si>
  <si>
    <t xml:space="preserve">LAB-FOUNDATION-AVG; исх. строка 25 | объём РД: КР0 л.3, плита -0,600 (6768,1 кг)</t>
  </si>
  <si>
    <t xml:space="preserve">2.14</t>
  </si>
  <si>
    <t xml:space="preserve">Устройство арматурного каркаса плиты террасы согласно проекту</t>
  </si>
  <si>
    <t xml:space="preserve">LAB-FOUNDATION-AVG; исх. строка 26 | объём РД: КР0 л.3, плита -0,400</t>
  </si>
  <si>
    <t xml:space="preserve">2.15</t>
  </si>
  <si>
    <t xml:space="preserve">Устройство арматурного каркаса плиты крыльца согласно проекту</t>
  </si>
  <si>
    <t xml:space="preserve">LAB-FOUNDATION-AVG; исх. строка 27 | объём РД: КР0 л.3, плита -0,100</t>
  </si>
  <si>
    <t xml:space="preserve">2.16</t>
  </si>
  <si>
    <t xml:space="preserve">Бетонирование плитного фундамента дома толщ. 30 см с виброуплотнением согласно проектных размеров и высотных отметок</t>
  </si>
  <si>
    <t xml:space="preserve">LAB-FOUNDATION-AVG; исх. строка 28 | объём РД: КР0 л.3, Бетон В25 W6 F200</t>
  </si>
  <si>
    <t xml:space="preserve">2.17</t>
  </si>
  <si>
    <t xml:space="preserve">Бетонирование плитного фундамента террасы толщ. 15 см с виброуплотнением</t>
  </si>
  <si>
    <t xml:space="preserve">LAB-FOUNDATION-AVG; исх. строка 29 | объём РД: КР0 л.3</t>
  </si>
  <si>
    <t xml:space="preserve">2.18</t>
  </si>
  <si>
    <t xml:space="preserve">Бетонирование плитного фундамента крыльца толщ. 20 см с виброуплотнением</t>
  </si>
  <si>
    <t xml:space="preserve">LAB-FOUNDATION-AVG; исх. строка 30 | объём РД: КР0 л.3</t>
  </si>
  <si>
    <t xml:space="preserve">2.19</t>
  </si>
  <si>
    <t xml:space="preserve">Устройство ступеней крыльца (опалубка, каркас, бетонирование)</t>
  </si>
  <si>
    <t xml:space="preserve">м.п.</t>
  </si>
  <si>
    <t xml:space="preserve">LAB-FOUNDATION-AVG; исх. строка 31</t>
  </si>
  <si>
    <t xml:space="preserve">2.20</t>
  </si>
  <si>
    <t xml:space="preserve">Устройство ступеней террасы (опалубка, каркас, бетонирование)</t>
  </si>
  <si>
    <t xml:space="preserve">LAB-FOUNDATION-AVG; исх. строка 32</t>
  </si>
  <si>
    <t xml:space="preserve">2.21</t>
  </si>
  <si>
    <t xml:space="preserve">Оклейка боковых поверхностей плиты дома, утеплителем толщиной 50 мм</t>
  </si>
  <si>
    <t xml:space="preserve">LAB-FOUNDATION-AVG; исх. строка 33</t>
  </si>
  <si>
    <t xml:space="preserve">2.22</t>
  </si>
  <si>
    <t xml:space="preserve">Гидроизоляция бетонных поверхностей фундамента дома (боковые стороны)(праймер - 1 раз, мастикой - 2 раза)</t>
  </si>
  <si>
    <t xml:space="preserve">LAB-FOUNDATION-AVG; исх. строка 34</t>
  </si>
  <si>
    <t xml:space="preserve">2.23</t>
  </si>
  <si>
    <t xml:space="preserve">Гидроизоляция бетонных поверхностей фундамента террасы (боковые стороны)(праймер - 1 раз, мастикой - 2 раза)</t>
  </si>
  <si>
    <t xml:space="preserve">LAB-FOUNDATION-AVG; исх. строка 35</t>
  </si>
  <si>
    <t xml:space="preserve">2.24</t>
  </si>
  <si>
    <t xml:space="preserve">Гидроизоляция бетонных поверхностей фундамента крыльца (боковые стороны)(праймер - 1 раз, мастикой - 2 раза)</t>
  </si>
  <si>
    <t xml:space="preserve">LAB-FOUNDATION-AVG; исх. строка 36</t>
  </si>
  <si>
    <t xml:space="preserve">2.25</t>
  </si>
  <si>
    <t xml:space="preserve">Уходные работы за бетоном монолитной плиты (7-28 суток) (полив и укрытие пленкой)</t>
  </si>
  <si>
    <t xml:space="preserve">LAB-FOUNDATION-AVG; исх. строка 37; площадь плит по стяжке; пленка учтена отдельно</t>
  </si>
  <si>
    <t xml:space="preserve">2.26</t>
  </si>
  <si>
    <t xml:space="preserve">Доска обрезная ест. влажн. 50х150 (100) мм, 25х150 (100) мм, соотношение 30/70 или иное (для опалубки плитного фундамента и ступеней)</t>
  </si>
  <si>
    <t xml:space="preserve">MAT-TIMBER-AVG; исх. строка 38</t>
  </si>
  <si>
    <t xml:space="preserve">2.27</t>
  </si>
  <si>
    <t xml:space="preserve">Арматура Ø12 мм A500C — проектная масса плит</t>
  </si>
  <si>
    <t xml:space="preserve">MAT-METAL-AVG; исх. строка 39; КР0, таблица масс: Ø12 A500C | объём РД: КР0 л.3, Ø12 по трём плитам; DISCOUNT-CLIENT-2026-07-31, минус 20%</t>
  </si>
  <si>
    <t xml:space="preserve">2.28</t>
  </si>
  <si>
    <t xml:space="preserve">Арматура Ø10 мм A500C — проектная масса плит</t>
  </si>
  <si>
    <t xml:space="preserve">MAT-METAL-AVG; исх. строка 40; КР0, таблица масс: Ø10 A500C | объём РД: КР0 л.3, каркасы Кр-1; DISCOUNT-CLIENT-2026-07-31, минус 20%</t>
  </si>
  <si>
    <t xml:space="preserve">2.29</t>
  </si>
  <si>
    <t xml:space="preserve">Арматура Ø8 мм A240 — проектная масса плит</t>
  </si>
  <si>
    <t xml:space="preserve">MAT-METAL-AVG; исх. строка 41; КР0, таблица масс: Ø8 A240 | объём РД: КР0 л.3, Ø8 А240; DISCOUNT-CLIENT-2026-07-31, минус 20%</t>
  </si>
  <si>
    <t xml:space="preserve">2.30a</t>
  </si>
  <si>
    <t xml:space="preserve">Бетон B25 П4 не ниже W6 F200 — проектный объем фундаментных плит</t>
  </si>
  <si>
    <t xml:space="preserve">MAT-CONCRETE-AVG; исх. строка 42 | объём РД: КР0 л.3: 91,5+8,4+1,8; DISCOUNT-CLIENT-2026-07-31, минус 20%</t>
  </si>
  <si>
    <t xml:space="preserve">2.30b</t>
  </si>
  <si>
    <t xml:space="preserve">Бетон B25 P4 не ниже W6 F200 — дополнительный объем 11,8 м³</t>
  </si>
  <si>
    <t xml:space="preserve">НЕ УЧТЕНО</t>
  </si>
  <si>
    <t xml:space="preserve">MAT-CONCRETE-AVG; исх. строка 43; дополнительный объем; в базовый итог не включен; DISCOUNT-CLIENT-2026-07-31, минус 20%</t>
  </si>
  <si>
    <t xml:space="preserve">2.31</t>
  </si>
  <si>
    <t xml:space="preserve">Плиты "ПЕНОПЛЭКС ФУНДАМЕНТ" 50х585х1185 Т-15 0.69 м² (7 штук в упаковке) или аналог</t>
  </si>
  <si>
    <t xml:space="preserve">упаковка</t>
  </si>
  <si>
    <t xml:space="preserve">LOCAL-KP-2026-07-16; исх. строка 44</t>
  </si>
  <si>
    <t xml:space="preserve">2.32</t>
  </si>
  <si>
    <t xml:space="preserve">Дюбель для теплоизоляции 10x120 или аналог</t>
  </si>
  <si>
    <t xml:space="preserve">шт</t>
  </si>
  <si>
    <t xml:space="preserve">LOCAL-KP-2026-07-16; исх. строка 45</t>
  </si>
  <si>
    <t xml:space="preserve">2.33</t>
  </si>
  <si>
    <t xml:space="preserve">Клей-пена Технониколь для пенополистирола 1000 мл или аналог (14 м2)</t>
  </si>
  <si>
    <t xml:space="preserve">LOCAL-KP-2026-07-16; исх. строка 46</t>
  </si>
  <si>
    <t xml:space="preserve">2.34</t>
  </si>
  <si>
    <t xml:space="preserve">Сетка из проволоки 4Вр-1 50х50х4 мм или аналог</t>
  </si>
  <si>
    <t xml:space="preserve">LOCAL-KP-2026-07-16; исх. строка 47; DISCOUNT-CLIENT-2026-07-31, минус 20%</t>
  </si>
  <si>
    <t xml:space="preserve">2.35</t>
  </si>
  <si>
    <t xml:space="preserve">Битумный праймер универсальный типа Битум продукт ВР-001 (0,35 кг/м2 - 1 слой) или аналог</t>
  </si>
  <si>
    <t xml:space="preserve">кг</t>
  </si>
  <si>
    <t xml:space="preserve">LOCAL-KP-2026-07-16; исх. строка 48</t>
  </si>
  <si>
    <t xml:space="preserve">2.36</t>
  </si>
  <si>
    <t xml:space="preserve">Битумная мастика гидроизоляционная типа Битум продукт ВР-1 (0,75 кг/м2 -1 слой) или аналог</t>
  </si>
  <si>
    <t xml:space="preserve">LOCAL-KP-2026-07-16; исх. строка 49</t>
  </si>
  <si>
    <t xml:space="preserve">2.37</t>
  </si>
  <si>
    <t xml:space="preserve">Пленка полиэтиленовая черная 150 мкм 2х30 м или аналог (укрывание бетонной плиты)</t>
  </si>
  <si>
    <t xml:space="preserve">LOCAL-KP-2026-07-16; исх. строка 50</t>
  </si>
  <si>
    <t xml:space="preserve">2.38</t>
  </si>
  <si>
    <t xml:space="preserve">Проволока вязальная 1,2 мм, бухта 200 м</t>
  </si>
  <si>
    <t xml:space="preserve">LOCAL-KP-2026-07-16; исх. строка 51; DISCOUNT-CLIENT-2026-07-31, минус 20%</t>
  </si>
  <si>
    <t xml:space="preserve">2.39</t>
  </si>
  <si>
    <t xml:space="preserve">Фиксатор арматуры горизонтальный и/или вертикальный (100 шт.)</t>
  </si>
  <si>
    <t xml:space="preserve">LOCAL-KP-2026-07-16; исх. строка 52</t>
  </si>
  <si>
    <t xml:space="preserve">2.40a</t>
  </si>
  <si>
    <t xml:space="preserve">Подбетонка B7.5 (М100) — проектный объем</t>
  </si>
  <si>
    <t xml:space="preserve">MAT-CONCRETE-AVG; исх. строка 53 | объём РД: КР0 л.3: 31,5+4,5+1,5; DISCOUNT-CLIENT-2026-07-31, минус 20%</t>
  </si>
  <si>
    <t xml:space="preserve">2.40b</t>
  </si>
  <si>
    <t xml:space="preserve">Подбетонка B7,5 — дополнительный объем 4,5 м³</t>
  </si>
  <si>
    <t xml:space="preserve">MAT-CONCRETE-AVG; исх. строка 54; дополнительный объем; в базовый итог не включен; DISCOUNT-CLIENT-2026-07-31, минус 20%</t>
  </si>
  <si>
    <t xml:space="preserve">2.41a</t>
  </si>
  <si>
    <t xml:space="preserve">Расходные материалы — 2% от стоимости материалов подгруппы</t>
  </si>
  <si>
    <t xml:space="preserve">объект</t>
  </si>
  <si>
    <t xml:space="preserve">FORMULA-2PCT; исх. строка 55</t>
  </si>
  <si>
    <t xml:space="preserve">2.41b</t>
  </si>
  <si>
    <t xml:space="preserve">Расходные материалы — 2% от стоимости дополнительных материалов подгруппы</t>
  </si>
  <si>
    <t xml:space="preserve">FORMULA-2PCT; исх. строка 56; дополнительный объем; в базовый итог не включен</t>
  </si>
  <si>
    <t xml:space="preserve">2.42</t>
  </si>
  <si>
    <t xml:space="preserve">Работа бетононасоса с подачей (длина стрелы до 36-40 м)</t>
  </si>
  <si>
    <t xml:space="preserve">MECH-PUMP-AVG; исх. строка 57</t>
  </si>
  <si>
    <t xml:space="preserve">2.43</t>
  </si>
  <si>
    <t xml:space="preserve">Аренда трамбовки с доставкой</t>
  </si>
  <si>
    <t xml:space="preserve">LOCAL-KP-2026-07-16; исх. строка 58</t>
  </si>
  <si>
    <t xml:space="preserve">Итого (учтено) по подгруппе 2</t>
  </si>
  <si>
    <t xml:space="preserve">3. Устройство отмостки вокруг дома, ширина 950 мм (бетон В25 W4 F75 П4 (М350), утепление 50 мм, сетка 50х50, геотекстиль)</t>
  </si>
  <si>
    <t xml:space="preserve">3</t>
  </si>
  <si>
    <t xml:space="preserve">3.1</t>
  </si>
  <si>
    <t xml:space="preserve">Разработка котлована фундамента дома (черновая-без доработки стенок до проектных отметок) экскаватором с перемещением грунта на участок или ручным способом (совместно с разработкой для дома)</t>
  </si>
  <si>
    <t xml:space="preserve">; исх. строка 61</t>
  </si>
  <si>
    <t xml:space="preserve">3.2</t>
  </si>
  <si>
    <t xml:space="preserve">LAB-FOUNDATION-AVG; исх. строка 62</t>
  </si>
  <si>
    <t xml:space="preserve">3.3</t>
  </si>
  <si>
    <t xml:space="preserve">Уплотнение грунта основание вибротрамбовкой по слойно (зона отмостки)</t>
  </si>
  <si>
    <t xml:space="preserve">LAB-FOUNDATION-AVG; исх. строка 63</t>
  </si>
  <si>
    <t xml:space="preserve">3.4</t>
  </si>
  <si>
    <t xml:space="preserve">Укладка геотекстиля по основанию отмостки в нахлест в 1 слой</t>
  </si>
  <si>
    <t xml:space="preserve">LAB-FOUNDATION-AVG; исх. строка 64</t>
  </si>
  <si>
    <t xml:space="preserve">3.5</t>
  </si>
  <si>
    <t xml:space="preserve">Укладка утеплителя в отмостке толщиной 50 мм</t>
  </si>
  <si>
    <t xml:space="preserve">LAB-FOUNDATION-AVG; исх. строка 65</t>
  </si>
  <si>
    <t xml:space="preserve">3.6</t>
  </si>
  <si>
    <t xml:space="preserve">Бетонирование отмостки до 8-10 см (под углом) с виброуплотнением согласно проектных размеров и высотных отметок</t>
  </si>
  <si>
    <t xml:space="preserve">LAB-FOUNDATION-AVG; исх. строка 66</t>
  </si>
  <si>
    <t xml:space="preserve">3.7</t>
  </si>
  <si>
    <t xml:space="preserve">Геотекстиль 500 г/м2 (50 м2)</t>
  </si>
  <si>
    <t xml:space="preserve">LOCAL-KP-2026-07-16; исх. строка 67</t>
  </si>
  <si>
    <t xml:space="preserve">3.8</t>
  </si>
  <si>
    <t xml:space="preserve">LOCAL-KP-2026-07-16; исх. строка 68</t>
  </si>
  <si>
    <t xml:space="preserve">3.9</t>
  </si>
  <si>
    <t xml:space="preserve">LOCAL-KP-2026-07-16; исх. строка 69</t>
  </si>
  <si>
    <t xml:space="preserve">3.10</t>
  </si>
  <si>
    <t xml:space="preserve">LOCAL-KP-2026-07-16; исх. строка 70; DISCOUNT-CLIENT-2026-07-31, минус 20%</t>
  </si>
  <si>
    <t xml:space="preserve">3.11</t>
  </si>
  <si>
    <t xml:space="preserve">Бетон B25 W4 F75 P4 для отмостки</t>
  </si>
  <si>
    <t xml:space="preserve">MAT-CONCRETE-AVG; исх. строка 71; DISCOUNT-CLIENT-2026-07-31, минус 20%</t>
  </si>
  <si>
    <t xml:space="preserve">3.12</t>
  </si>
  <si>
    <t xml:space="preserve">FORMULA-2PCT; исх. строка 72</t>
  </si>
  <si>
    <t xml:space="preserve">3.13</t>
  </si>
  <si>
    <t xml:space="preserve">LOCAL-KP-2026-07-16; исх. строка 73</t>
  </si>
  <si>
    <t xml:space="preserve">3.14</t>
  </si>
  <si>
    <t xml:space="preserve">MECH-PUMP-AVG; исх. строка 74</t>
  </si>
  <si>
    <t xml:space="preserve">Итого (учтено) по подгруппе 3</t>
  </si>
  <si>
    <t xml:space="preserve">4. Дополнительные работы по разделу</t>
  </si>
  <si>
    <t xml:space="preserve">4</t>
  </si>
  <si>
    <t xml:space="preserve">4.1</t>
  </si>
  <si>
    <t xml:space="preserve">Устройство песчаной подготовки под плитой до 100мм</t>
  </si>
  <si>
    <t xml:space="preserve">LAB-FOUNDATION-AVG; исх. строка 77</t>
  </si>
  <si>
    <t xml:space="preserve">4.2</t>
  </si>
  <si>
    <t xml:space="preserve">Устройство сантех. разводки труб и выпусков (канализация и под воду), работа+материал (согласно схемы)</t>
  </si>
  <si>
    <t xml:space="preserve">LAB-FOUNDATION-AVG, LOCAL-KP-2026-07-16; исх. строка 78</t>
  </si>
  <si>
    <t xml:space="preserve">4.3</t>
  </si>
  <si>
    <t xml:space="preserve">Устройство в нахлест рулонной гидроизоляции в 1 слой по основанию (или по проекту)</t>
  </si>
  <si>
    <t xml:space="preserve">LAB-FOUNDATION-AVG; исх. строка 79 | объём РД: КР0 л.3: Техноэласт ЭПП 325+50+15</t>
  </si>
  <si>
    <t xml:space="preserve">4.4</t>
  </si>
  <si>
    <t xml:space="preserve">Установка закладной трубы ПВХ с заглушками Д-110 мм для труб канализации и воды Д-63 мм (согласно схемы)</t>
  </si>
  <si>
    <t xml:space="preserve">LAB-FOUNDATION-AVG, LOCAL-KP-2026-07-16; исх. строка 80</t>
  </si>
  <si>
    <t xml:space="preserve">4.5</t>
  </si>
  <si>
    <t xml:space="preserve">Гидроизоляция рубероид типа Технониколь 1х10 м толщ. 2-4 мм в 1 слой или аналог</t>
  </si>
  <si>
    <t xml:space="preserve">LOCAL-KP-2026-07-16; исх. строка 81</t>
  </si>
  <si>
    <t xml:space="preserve">4.6</t>
  </si>
  <si>
    <t xml:space="preserve">Песок строительный для подушки</t>
  </si>
  <si>
    <t xml:space="preserve">MAT-SAND-AVG; исх. строка 82</t>
  </si>
  <si>
    <t xml:space="preserve">Итого (учтено) по подгруппе 4</t>
  </si>
  <si>
    <t xml:space="preserve">ИТОГО ПО ЭТАПУ: 1. Фундамент</t>
  </si>
  <si>
    <t xml:space="preserve">ИТОГО ЭТАПА</t>
  </si>
  <si>
    <t xml:space="preserve">1. Устройство стен из: из фибропенобетонных блоков шириной 400 мм -наружные, из фибропенобетонных блоков шириной 300/120 мм - внутренние, из забутовочного кирпича 250 мм- внутрении, из забутовочного кирпича 250 мм - цоколь/парапет 380- колонны из бута</t>
  </si>
  <si>
    <t xml:space="preserve">Устройство в нахлест рулонной гидроизоляции в 1 слой под кладку стен (или по проекту)</t>
  </si>
  <si>
    <t xml:space="preserve">пог.м</t>
  </si>
  <si>
    <t xml:space="preserve">LAB-SHELL-AVG; исх. строка 87</t>
  </si>
  <si>
    <t xml:space="preserve">Кладка из забутувочного кирпича (Цоколь под лестницей) (1-ый этаж)</t>
  </si>
  <si>
    <t xml:space="preserve">LAB-SHELL-AVG; исх. строка 88</t>
  </si>
  <si>
    <t xml:space="preserve">Кладка из забутувочного кирпича (Цоколь 250 мм) (1-ый этаж)</t>
  </si>
  <si>
    <t xml:space="preserve">LAB-SHELL-AVG; исх. строка 89</t>
  </si>
  <si>
    <t xml:space="preserve">Кладка из забутувочного кирпича (Стены 250 мм) (1-ый этаж)</t>
  </si>
  <si>
    <t xml:space="preserve">LAB-SHELL-AVG; исх. строка 90</t>
  </si>
  <si>
    <t xml:space="preserve">1.5</t>
  </si>
  <si>
    <t xml:space="preserve">Монтаж блока из фибропенобетона 120мм (1-ый этаж)</t>
  </si>
  <si>
    <t xml:space="preserve">PRICE-FIBROTEK-2026-07-28; работа по прайсу изготовителя; исх. строка 91</t>
  </si>
  <si>
    <t xml:space="preserve">1.6</t>
  </si>
  <si>
    <t xml:space="preserve">Монтаж блока из фибропенобетона 300мм (1-ый этаж)</t>
  </si>
  <si>
    <t xml:space="preserve">PRICE-FIBROTEK-2026-07-28; работа по прайсу изготовителя; исх. строка 92</t>
  </si>
  <si>
    <t xml:space="preserve">1.7</t>
  </si>
  <si>
    <t xml:space="preserve">Монтаж блока из фибропенобетона 400мм (1-ый этаж)</t>
  </si>
  <si>
    <t xml:space="preserve">PRICE-FIBROTEK-2026-07-28; работа по прайсу изготовителя; исх. строка 93</t>
  </si>
  <si>
    <t xml:space="preserve">1.8</t>
  </si>
  <si>
    <t xml:space="preserve">Укладка керамзита послойная толщиной 450 мм</t>
  </si>
  <si>
    <t xml:space="preserve">LAB-SHELL-AVG; исх. строка 94</t>
  </si>
  <si>
    <t xml:space="preserve">1.9</t>
  </si>
  <si>
    <t xml:space="preserve">Монтаж блока из фибропенобетона 120мм (Мансардный этаж)</t>
  </si>
  <si>
    <t xml:space="preserve">PRICE-FIBROTEK-2026-07-28; работа по прайсу изготовителя; исх. строка 95</t>
  </si>
  <si>
    <t xml:space="preserve">1.10</t>
  </si>
  <si>
    <t xml:space="preserve">Монтаж блока из фибропенобетона 400мм (Мансардный этаж)</t>
  </si>
  <si>
    <t xml:space="preserve">PRICE-FIBROTEK-2026-07-28; работа по прайсу изготовителя; исх. строка 96</t>
  </si>
  <si>
    <t xml:space="preserve">1.11</t>
  </si>
  <si>
    <t xml:space="preserve">Кладка из забутувочного кирпича (Парапет 250 мм) (Мансардный этаж)</t>
  </si>
  <si>
    <t xml:space="preserve">LAB-SHELL-AVG; исх. строка 97</t>
  </si>
  <si>
    <t xml:space="preserve">1.12</t>
  </si>
  <si>
    <t xml:space="preserve">Кладка из забутувочного кирпича (Стены 250 мм) (Мансардный этаж)</t>
  </si>
  <si>
    <t xml:space="preserve">LAB-SHELL-AVG; исх. строка 98</t>
  </si>
  <si>
    <t xml:space="preserve">1.13</t>
  </si>
  <si>
    <t xml:space="preserve">Кладка колонн из забутовочного кирпича</t>
  </si>
  <si>
    <t xml:space="preserve">LAB-SHELL-AVG; исх. строка 99</t>
  </si>
  <si>
    <t xml:space="preserve">1.14</t>
  </si>
  <si>
    <t xml:space="preserve">Устройство перевязки швов и углов кладки армированной сеткой из проволоки 4Вр-1 50х50х4 мм (2 м2 на 1 м3)</t>
  </si>
  <si>
    <t xml:space="preserve">LAB-SHELL-AVG; исх. строка 100</t>
  </si>
  <si>
    <t xml:space="preserve">1.15</t>
  </si>
  <si>
    <t xml:space="preserve">Керамзит фракция 10–20 мм, машина 10 м³, с доставкой</t>
  </si>
  <si>
    <t xml:space="preserve">машина</t>
  </si>
  <si>
    <t xml:space="preserve">MAT-KERAMZIT-AVG; исх. строка 101</t>
  </si>
  <si>
    <t xml:space="preserve">1.16</t>
  </si>
  <si>
    <t xml:space="preserve">Блок 400×200×400 мм пазогребень ФиброТек Про без лицевой отделки или аналог, запас 7%, кратно поддону 36 шт.</t>
  </si>
  <si>
    <t xml:space="preserve">PRICE-FIBROTEK-2026-07-28; прайс изготовителя от 28.07.2026, позиция без лицевой отделки; исх. строка 102</t>
  </si>
  <si>
    <t xml:space="preserve">1.17</t>
  </si>
  <si>
    <t xml:space="preserve">Блок 600×200×300 мм ФиброТек Про или аналог, запас 7%, кратно поддону 28 шт.</t>
  </si>
  <si>
    <t xml:space="preserve">PRICE-FIBROTEK-2026-07-28; прайс изготовителя от 28.07.2026, позиция без лицевой отделки; исх. строка 103</t>
  </si>
  <si>
    <t xml:space="preserve">1.18</t>
  </si>
  <si>
    <t xml:space="preserve">Блок 400×200×120 мм перегородочный пазогребень ФиброТек Про без лицевой отделки или аналог, запас 7%, кратно поддону 104 шт.</t>
  </si>
  <si>
    <t xml:space="preserve">PRICE-FIBROTEK-2026-07-28; прайс изготовителя от 28.07.2026, позиция без лицевой отделки; исх. строка 104</t>
  </si>
  <si>
    <t xml:space="preserve">1.19</t>
  </si>
  <si>
    <t xml:space="preserve">Кирпич забутовочный М150 (420шт/поддон) (учтено 7% на бой/запас/брак) или аналог</t>
  </si>
  <si>
    <t xml:space="preserve">LOCAL-KP-2026-07-16; исх. строка 105</t>
  </si>
  <si>
    <t xml:space="preserve">1.20</t>
  </si>
  <si>
    <t xml:space="preserve">Арматура Д-8 мм А500С (4419 м.п.)(перевязка блоков)</t>
  </si>
  <si>
    <t xml:space="preserve">MAT-METAL-AVG; исх. строка 106; DISCOUNT-CLIENT-2026-07-31, минус 20%</t>
  </si>
  <si>
    <t xml:space="preserve">1.21</t>
  </si>
  <si>
    <t xml:space="preserve">Песок мытый/речной для раствора</t>
  </si>
  <si>
    <t xml:space="preserve">MAT-SAND-AVG; исх. строка 107</t>
  </si>
  <si>
    <t xml:space="preserve">1.22</t>
  </si>
  <si>
    <t xml:space="preserve">Цемент М500 (мешок 50 кг) или аналог</t>
  </si>
  <si>
    <t xml:space="preserve">шт.</t>
  </si>
  <si>
    <t xml:space="preserve">LOCAL-KP-2026-07-16; исх. строка 108</t>
  </si>
  <si>
    <t xml:space="preserve">1.23</t>
  </si>
  <si>
    <t xml:space="preserve">Сетка из проволоки 4Вр-1 50х50х4 мм (перевязка кирпичной кладки) или аналог</t>
  </si>
  <si>
    <t xml:space="preserve">LOCAL-KP-2026-07-16; исх. строка 109; DISCOUNT-CLIENT-2026-07-31, минус 20%</t>
  </si>
  <si>
    <t xml:space="preserve">1.24</t>
  </si>
  <si>
    <t xml:space="preserve">Гидроизоляция рубероид типа Технониколь 1х10 м толщ. 2-4 мм или аналог</t>
  </si>
  <si>
    <t xml:space="preserve">LOCAL-KP-2026-07-16; исх. строка 110</t>
  </si>
  <si>
    <t xml:space="preserve">1.25</t>
  </si>
  <si>
    <t xml:space="preserve">FORMULA-2PCT; исх. строка 111</t>
  </si>
  <si>
    <t xml:space="preserve">1.26</t>
  </si>
  <si>
    <t xml:space="preserve">Доставка кирпича (по 7 поддонов)</t>
  </si>
  <si>
    <t xml:space="preserve">LOCAL-KP-2026-07-16; исх. строка 112</t>
  </si>
  <si>
    <t xml:space="preserve">1.27</t>
  </si>
  <si>
    <t xml:space="preserve">Доставка перемычек из уголков и фиброцемента</t>
  </si>
  <si>
    <t xml:space="preserve">LOCAL-KP-2026-07-16; исх. строка 113</t>
  </si>
  <si>
    <t xml:space="preserve">1.28</t>
  </si>
  <si>
    <t xml:space="preserve">Доставка фибробетонных блоков (по 25 поддонов)</t>
  </si>
  <si>
    <t xml:space="preserve">LOCAL-KP-2026-07-16; исх. строка 114</t>
  </si>
  <si>
    <t xml:space="preserve">1.29</t>
  </si>
  <si>
    <t xml:space="preserve">Доставка гидроизоляции и расходных материалов</t>
  </si>
  <si>
    <t xml:space="preserve">LOCAL-KP-2026-07-16; исх. строка 115</t>
  </si>
  <si>
    <t xml:space="preserve">1.30</t>
  </si>
  <si>
    <t xml:space="preserve">Доставка металла осуществляется совместно с доставкой уголков (учтено в разделе перемычки)</t>
  </si>
  <si>
    <t xml:space="preserve">LOCAL-KP-2026-07-16; исх. строка 116</t>
  </si>
  <si>
    <t xml:space="preserve">1.31</t>
  </si>
  <si>
    <t xml:space="preserve">Доставка цемента</t>
  </si>
  <si>
    <t xml:space="preserve">LOCAL-KP-2026-07-16; исх. строка 117</t>
  </si>
  <si>
    <t xml:space="preserve">2. Устройство перемычек 1-го и мансардного этажей из уголка 75х75х8, 75х75х5 и фиброцементных перемычек (согласно проекту)</t>
  </si>
  <si>
    <t xml:space="preserve">Монтаж перемычек из фиброцемента</t>
  </si>
  <si>
    <t xml:space="preserve">LAB-SHELL-AVG; исх. строка 120</t>
  </si>
  <si>
    <t xml:space="preserve">Грунтовка за 1 раз и окраска за 2 раза металлических перемычек из уголка</t>
  </si>
  <si>
    <t xml:space="preserve">LAB-SHELL-AVG; исх. строка 121</t>
  </si>
  <si>
    <t xml:space="preserve">Устройство металлических перемычек из уголка 75х75х8мм и 75х75х5мм</t>
  </si>
  <si>
    <t xml:space="preserve">LAB-SHELL-AVG; исх. строка 122 | объём РД: АР л.7, сводная спец. перемычек П-1..П-11</t>
  </si>
  <si>
    <t xml:space="preserve">Эмаль по металлу типа ПФ-115 (110-130 г/м2 за 1 раз)</t>
  </si>
  <si>
    <t xml:space="preserve">LOCAL-KP-2026-07-16; исх. строка 123</t>
  </si>
  <si>
    <t xml:space="preserve">Грунтовка по металлу типа ГФ-021 серая (60-160 г/м2 за 1 раз)</t>
  </si>
  <si>
    <t xml:space="preserve">LOCAL-KP-2026-07-16; исх. строка 124</t>
  </si>
  <si>
    <t xml:space="preserve">Уголок стальной 75×75×8 мм — закупка полными хлыстами 12 м</t>
  </si>
  <si>
    <t xml:space="preserve">MAT-METAL-AVG; исх. строка 125 | объём РД: АР л.7: 130,8 м уголка 75х75х8; DISCOUNT-CLIENT-2026-07-31, минус 20%</t>
  </si>
  <si>
    <t xml:space="preserve">Уголок стальной 75×75×5 мм — закупка полными хлыстами 12 м</t>
  </si>
  <si>
    <t xml:space="preserve">MAT-METAL-AVG; исх. строка 126 | объём РД: АР л.7: 24,74 м уголка 75х75х5; DISCOUNT-CLIENT-2026-07-31, минус 20%</t>
  </si>
  <si>
    <t xml:space="preserve">Перемычка фиброцементная l=1590мм</t>
  </si>
  <si>
    <t xml:space="preserve">LOCAL-KP-2026-07-16; исх. строка 127</t>
  </si>
  <si>
    <t xml:space="preserve">Перемычка фиброцементная l=2390мм</t>
  </si>
  <si>
    <t xml:space="preserve">LOCAL-KP-2026-07-16; исх. строка 128</t>
  </si>
  <si>
    <t xml:space="preserve">Перемычка фиброцементная l=2300мм</t>
  </si>
  <si>
    <t xml:space="preserve">LOCAL-KP-2026-07-16; исх. строка 129</t>
  </si>
  <si>
    <t xml:space="preserve">Перемычка фиброцементная l=2900мм</t>
  </si>
  <si>
    <t xml:space="preserve">LOCAL-KP-2026-07-16; исх. строка 130</t>
  </si>
  <si>
    <t xml:space="preserve">FORMULA-2PCT; исх. строка 131</t>
  </si>
  <si>
    <t xml:space="preserve">Доставка грунтовки, эмали и расходных материалов</t>
  </si>
  <si>
    <t xml:space="preserve">LOCAL-KP-2026-07-16; исх. строка 132</t>
  </si>
  <si>
    <t xml:space="preserve">Доставка уголков и металла для кладки</t>
  </si>
  <si>
    <t xml:space="preserve">LOCAL-KP-2026-07-16; исх. строка 133</t>
  </si>
  <si>
    <t xml:space="preserve">Доставка фиброцементных перемычек</t>
  </si>
  <si>
    <t xml:space="preserve">LOCAL-KP-2026-07-16; исх. строка 134</t>
  </si>
  <si>
    <t xml:space="preserve">3. Устройство монолитного армопояса 1-го этажа на отм. +3,780 м 300/250х250(h) мм (Бетон B25 W4 F75, арматура Д-8 мм и Д-6 мм А500С(согласно проекту))</t>
  </si>
  <si>
    <t xml:space="preserve">Устройство опалубки монолитного армопояса</t>
  </si>
  <si>
    <t xml:space="preserve">LAB-SHELL-AVG; исх. строка 137</t>
  </si>
  <si>
    <t xml:space="preserve">Изготовление и установка арматурного каркаса монолитного пояса</t>
  </si>
  <si>
    <t xml:space="preserve">LAB-SHELL-AVG; исх. строка 138</t>
  </si>
  <si>
    <t xml:space="preserve">Бетонирование монолитного армопояса, бетон В20 (М250) W4 F100</t>
  </si>
  <si>
    <t xml:space="preserve">LAB-SHELL-AVG; исх. строка 139</t>
  </si>
  <si>
    <t xml:space="preserve">Шпильки М12 с гайками и шайбами, 400-600 мм или аналог</t>
  </si>
  <si>
    <t xml:space="preserve">LOCAL-KP-2026-07-16; исх. строка 140</t>
  </si>
  <si>
    <t xml:space="preserve">Арматура Д-8 мм А500С(611 м.п.)</t>
  </si>
  <si>
    <t xml:space="preserve">MAT-METAL-AVG; исх. строка 141 | объём РД: КР л.2, ж/б пояса, Ø8; DISCOUNT-CLIENT-2026-07-31, минус 20%</t>
  </si>
  <si>
    <t xml:space="preserve">Арматура Д-6 мм А500С(681 м.п.)</t>
  </si>
  <si>
    <t xml:space="preserve">MAT-METAL-AVG; исх. строка 142 | объём РД: КР л.2, ж/б пояса, Ø6; DISCOUNT-CLIENT-2026-07-31, минус 20%</t>
  </si>
  <si>
    <t xml:space="preserve">Бетон B25 W4 F75 P4 для армопояса</t>
  </si>
  <si>
    <t xml:space="preserve">MAT-CONCRETE-AVG; исх. строка 143 | объём РД: КР л.2, ж/б пояса, бетон; DISCOUNT-CLIENT-2026-07-31, минус 20%</t>
  </si>
  <si>
    <t xml:space="preserve">Проволока вязальная 1,2 мм</t>
  </si>
  <si>
    <t xml:space="preserve">LOCAL-KP-2026-07-16; исх. строка 144; DISCOUNT-CLIENT-2026-07-31, минус 20%</t>
  </si>
  <si>
    <t xml:space="preserve">Доска обрезная ест. влажн. 50х150 (100) мм, 25х150 (100) мм (для опалубки армопояса)</t>
  </si>
  <si>
    <t xml:space="preserve">MAT-TIMBER-AVG; исх. строка 145</t>
  </si>
  <si>
    <t xml:space="preserve">Фиксатор арматуры горизонтальный и вертикальный (100 шт.)</t>
  </si>
  <si>
    <t xml:space="preserve">упак.</t>
  </si>
  <si>
    <t xml:space="preserve">LOCAL-KP-2026-07-16; исх. строка 146</t>
  </si>
  <si>
    <t xml:space="preserve">FORMULA-2PCT; исх. строка 147</t>
  </si>
  <si>
    <t xml:space="preserve">Доставка металла осуществляется совместно с доставкой на плиту (учтено в разделе перекрытия)</t>
  </si>
  <si>
    <t xml:space="preserve">; исх. строка 148</t>
  </si>
  <si>
    <t xml:space="preserve">Доставка леса для опалубки осуществляется совместно с доставкой на плиту (учтено в разделе перекрытия)</t>
  </si>
  <si>
    <t xml:space="preserve">; исх. строка 149</t>
  </si>
  <si>
    <t xml:space="preserve">Работа бетононасоса с подачей (длина стрелы до 40 м) (совместная заливка с перекрытием)</t>
  </si>
  <si>
    <t xml:space="preserve">; исх. строка 150</t>
  </si>
  <si>
    <t xml:space="preserve">4. Устройство монолитной плиты перекрытия (Бетон B25 W4 F75, арматура Д-12, Д-22, Д-10 А500С (согласно проекту)) на отметке + 3,780</t>
  </si>
  <si>
    <t xml:space="preserve">Устройство отверстий в плитах для трубопроводов диаметром до 125 мм глубиной до 300 мм</t>
  </si>
  <si>
    <t xml:space="preserve">LAB-SHELL-AVG; исх. строка 153</t>
  </si>
  <si>
    <t xml:space="preserve">Установка и разборка горизонтал. опалубки плиты на телескоп. стойках (установка и разборка треног, стоек телескопических, унивилок, двутавровых балок фанеродеревянных, щитов фанеры ламинированных, бортов опалубочного стола из досок, смазка)</t>
  </si>
  <si>
    <t xml:space="preserve">LAB-SHELL-AVG; исх. строка 154</t>
  </si>
  <si>
    <t xml:space="preserve">Изготовление и установка арматурного каркаса плиты перекрытия — расчетная масса</t>
  </si>
  <si>
    <t xml:space="preserve">LAB-SHELL-AVG; исх. строка 155; расчетная масса 14,892 т = 0,328 + 14,544 + 0,020 т по материальным строкам КП; проверить по КР до release | объём РД: КР л.2, плита перекрытия +3,780</t>
  </si>
  <si>
    <t xml:space="preserve">Бетонирование монолитной плиты толщ. 280 мм</t>
  </si>
  <si>
    <t xml:space="preserve">LAB-SHELL-AVG; исх. строка 156 | объём РД: КР л.2, бетон плиты</t>
  </si>
  <si>
    <t xml:space="preserve">Арматура Д-22 мм А500С (110м.п.)</t>
  </si>
  <si>
    <t xml:space="preserve">MAT-METAL-AVG; исх. строка 157 | объём РД: КР л.2, Ø22; DISCOUNT-CLIENT-2026-07-31, минус 20%</t>
  </si>
  <si>
    <t xml:space="preserve">Арматура Д-12 мм А500С (16390м.п.)</t>
  </si>
  <si>
    <t xml:space="preserve">MAT-METAL-AVG; исх. строка 158 | объём РД: КР л.2, Ø12; DISCOUNT-CLIENT-2026-07-31, минус 20%</t>
  </si>
  <si>
    <t xml:space="preserve">4.7</t>
  </si>
  <si>
    <t xml:space="preserve">Арматура Д-10 мм А500С (32 м.п.)</t>
  </si>
  <si>
    <t xml:space="preserve">MAT-METAL-AVG; исх. строка 159 | объём РД: КР л.2, Ø10; DISCOUNT-CLIENT-2026-07-31, минус 20%</t>
  </si>
  <si>
    <t xml:space="preserve">4.8</t>
  </si>
  <si>
    <t xml:space="preserve">Проволока вязальная 1,2мм</t>
  </si>
  <si>
    <t xml:space="preserve">LOCAL-KP-2026-07-16; исх. строка 160; DISCOUNT-CLIENT-2026-07-31, минус 20%</t>
  </si>
  <si>
    <t xml:space="preserve">4.9</t>
  </si>
  <si>
    <t xml:space="preserve">Бетон B25 W4 F75 P4 для плиты перекрытия</t>
  </si>
  <si>
    <t xml:space="preserve">MAT-CONCRETE-AVG; исх. строка 161 | объём РД: КР л.2, бетон плиты; DISCOUNT-CLIENT-2026-07-31, минус 20%</t>
  </si>
  <si>
    <t xml:space="preserve">4.10</t>
  </si>
  <si>
    <t xml:space="preserve">Труба п/э Д-110 мм</t>
  </si>
  <si>
    <t xml:space="preserve">м</t>
  </si>
  <si>
    <t xml:space="preserve">LOCAL-KP-2026-07-16; исх. строка 162</t>
  </si>
  <si>
    <t xml:space="preserve">4.11</t>
  </si>
  <si>
    <t xml:space="preserve">Экструдированный пенополистирол XPS 30 мм Т-15 585x1185 мм 0.69 м² или аналог</t>
  </si>
  <si>
    <t xml:space="preserve">LOCAL-KP-2026-07-16; исх. строка 163</t>
  </si>
  <si>
    <t xml:space="preserve">4.12</t>
  </si>
  <si>
    <t xml:space="preserve">Аренда щитовой потолочной опалубки</t>
  </si>
  <si>
    <t xml:space="preserve">день</t>
  </si>
  <si>
    <t xml:space="preserve">MECH-FORMWORK-AVG; исх. строка 164</t>
  </si>
  <si>
    <t xml:space="preserve">4.13</t>
  </si>
  <si>
    <t xml:space="preserve">Доска обрезная ест. влажн. 50х150 (100) мм, 25х150 (100) мм</t>
  </si>
  <si>
    <t xml:space="preserve">MAT-TIMBER-AVG; исх. строка 165</t>
  </si>
  <si>
    <t xml:space="preserve">4.14</t>
  </si>
  <si>
    <t xml:space="preserve">Фанера ламинированная толщ. 21 мм (для подрезки щитов опалубки по размерам плиты)</t>
  </si>
  <si>
    <t xml:space="preserve">MAT-FORMWORK-AVG; исх. строка 166</t>
  </si>
  <si>
    <t xml:space="preserve">4.15</t>
  </si>
  <si>
    <t xml:space="preserve">Смазка для опалубки типа "Эмульсол экс-А" или аналог (200 г на 1 м2)</t>
  </si>
  <si>
    <t xml:space="preserve">LOCAL-KP-2026-07-16; исх. строка 167</t>
  </si>
  <si>
    <t xml:space="preserve">4.16</t>
  </si>
  <si>
    <t xml:space="preserve">FORMULA-2PCT; исх. строка 168</t>
  </si>
  <si>
    <t xml:space="preserve">4.17</t>
  </si>
  <si>
    <t xml:space="preserve">Доставка металла осуществляется совместно с доставкой на армопояса</t>
  </si>
  <si>
    <t xml:space="preserve">LOCAL-KP-2026-07-16; исх. строка 169</t>
  </si>
  <si>
    <t xml:space="preserve">4.18</t>
  </si>
  <si>
    <t xml:space="preserve">Доставка леса для опалубки осуществляется совместно с доставкой на армопояса</t>
  </si>
  <si>
    <t xml:space="preserve">LOCAL-KP-2026-07-16; исх. строка 170</t>
  </si>
  <si>
    <t xml:space="preserve">4.19</t>
  </si>
  <si>
    <t xml:space="preserve">Работа бетононасоса с подачей (длина стрелы до 40 м) (совместная заливка вместе с армопоясом)</t>
  </si>
  <si>
    <t xml:space="preserve">MECH-PUMP-AVG; исх. строка 171</t>
  </si>
  <si>
    <t xml:space="preserve">5. Устройство монолитного мансардного этажа на отметке + 4,200 м 300/250х250(h) мм (Бетон B25 W4 F75, арматура Д-8 мм и Д-6 мм А500С(согласно проекту))</t>
  </si>
  <si>
    <t xml:space="preserve">5</t>
  </si>
  <si>
    <t xml:space="preserve">5.1</t>
  </si>
  <si>
    <t xml:space="preserve">LAB-SHELL-AVG; исх. строка 174</t>
  </si>
  <si>
    <t xml:space="preserve">5.2</t>
  </si>
  <si>
    <t xml:space="preserve">LAB-SHELL-AVG; исх. строка 175</t>
  </si>
  <si>
    <t xml:space="preserve">5.3</t>
  </si>
  <si>
    <t xml:space="preserve">LAB-SHELL-AVG; исх. строка 176</t>
  </si>
  <si>
    <t xml:space="preserve">5.4</t>
  </si>
  <si>
    <t xml:space="preserve">LOCAL-KP-2026-07-16; исх. строка 177 | объём РД: КР л.4, шпилька М12 L=330</t>
  </si>
  <si>
    <t xml:space="preserve">5.5</t>
  </si>
  <si>
    <t xml:space="preserve">Арматура Д-6 мм А500С(407 м.п.)</t>
  </si>
  <si>
    <t xml:space="preserve">MAT-METAL-AVG; исх. строка 178 | объём РД: КР л.4, Ø6; DISCOUNT-CLIENT-2026-07-31, минус 20%</t>
  </si>
  <si>
    <t xml:space="preserve">5.6</t>
  </si>
  <si>
    <t xml:space="preserve">Арматура Д-8 мм А500С(407 м.п.)</t>
  </si>
  <si>
    <t xml:space="preserve">MAT-METAL-AVG; исх. строка 179 | объём РД: КР л.4, Ø8; DISCOUNT-CLIENT-2026-07-31, минус 20%</t>
  </si>
  <si>
    <t xml:space="preserve">5.7</t>
  </si>
  <si>
    <t xml:space="preserve">MAT-CONCRETE-AVG; исх. строка 180 | объём РД: КР л.4, бетон пояса; DISCOUNT-CLIENT-2026-07-31, минус 20%</t>
  </si>
  <si>
    <t xml:space="preserve">5.8</t>
  </si>
  <si>
    <t xml:space="preserve">LOCAL-KP-2026-07-16; исх. строка 181; DISCOUNT-CLIENT-2026-07-31, минус 20%</t>
  </si>
  <si>
    <t xml:space="preserve">5.9</t>
  </si>
  <si>
    <t xml:space="preserve">MAT-TIMBER-AVG; исх. строка 182</t>
  </si>
  <si>
    <t xml:space="preserve">5.10</t>
  </si>
  <si>
    <t xml:space="preserve">LOCAL-KP-2026-07-16; исх. строка 183</t>
  </si>
  <si>
    <t xml:space="preserve">5.11</t>
  </si>
  <si>
    <t xml:space="preserve">FORMULA-2PCT; исх. строка 184</t>
  </si>
  <si>
    <t xml:space="preserve">5.12</t>
  </si>
  <si>
    <t xml:space="preserve">; исх. строка 185</t>
  </si>
  <si>
    <t xml:space="preserve">5.13</t>
  </si>
  <si>
    <t xml:space="preserve">; исх. строка 186</t>
  </si>
  <si>
    <t xml:space="preserve">5.14</t>
  </si>
  <si>
    <t xml:space="preserve">Работа бетононасоса с подачей (длина стрелы до 40 м)</t>
  </si>
  <si>
    <t xml:space="preserve">MECH-PUMP-AVG; исх. строка 187; минимальная оплачиваемая смена автобетононасоса</t>
  </si>
  <si>
    <t xml:space="preserve">Итого (учтено) по подгруппе 5</t>
  </si>
  <si>
    <t xml:space="preserve">6. Дополнительные работы по разделу</t>
  </si>
  <si>
    <t xml:space="preserve">6</t>
  </si>
  <si>
    <t xml:space="preserve">6.1</t>
  </si>
  <si>
    <t xml:space="preserve">Кладка вентканала из забутовочного кирпича</t>
  </si>
  <si>
    <t xml:space="preserve">LAB-SHELL-AVG; исх. строка 190</t>
  </si>
  <si>
    <t xml:space="preserve">6.2</t>
  </si>
  <si>
    <t xml:space="preserve">LOCAL-KP-2026-07-16; исх. строка 191</t>
  </si>
  <si>
    <t xml:space="preserve">6.3</t>
  </si>
  <si>
    <t xml:space="preserve">MAT-SAND-AVG; исх. строка 192</t>
  </si>
  <si>
    <t xml:space="preserve">6.4</t>
  </si>
  <si>
    <t xml:space="preserve">LOCAL-KP-2026-07-16; исх. строка 193</t>
  </si>
  <si>
    <t xml:space="preserve">6.5</t>
  </si>
  <si>
    <t xml:space="preserve">FORMULA-2PCT; исх. строка 194</t>
  </si>
  <si>
    <t xml:space="preserve">6.6</t>
  </si>
  <si>
    <t xml:space="preserve">LOCAL-KP-2026-07-16; исх. строка 195</t>
  </si>
  <si>
    <t xml:space="preserve">Итого (учтено) по подгруппе 6</t>
  </si>
  <si>
    <t xml:space="preserve">ИТОГО ПО ЭТАПУ: 2. Стены, перемычки, армопояса и перекрытие</t>
  </si>
  <si>
    <t xml:space="preserve">1. Система неэксплуатируемой крыши по железобетонному основанию с механическим методом крепления кровельного ковра из полимерной мембраны в цементно-песчаную стяжку и утеплением плитами</t>
  </si>
  <si>
    <t xml:space="preserve">Устройство неэксплуатируемой крыши по железобетонному основанию с механическим методом крепления кровельного ковра из полимерной мембраны в цементно-песчаную стяжку и утеплением плитами</t>
  </si>
  <si>
    <t xml:space="preserve">м2 кровли</t>
  </si>
  <si>
    <t xml:space="preserve">LAB-ROOF-AVG; исх. строка 200 | объём РД: АР л.8, кровля ТИП 2</t>
  </si>
  <si>
    <t xml:space="preserve">Мембрана ПВХ Технониколь Logicroof V-RP 1,5мм серая (2,10x20м) (42 м2) или аналог (в т.ч. запас 7%)</t>
  </si>
  <si>
    <t xml:space="preserve">рулон</t>
  </si>
  <si>
    <t xml:space="preserve">MAT-ROOF-AVG; исх. строка 201</t>
  </si>
  <si>
    <t xml:space="preserve">Саморез остроконечный TERMOCLIP® Ø 4.8 мм (4,8 мм х0,1 мм) (500 шт/2,61кг в упаковке) (расход 5шт/м2) или аналог (в т.ч. запас 15%)</t>
  </si>
  <si>
    <t xml:space="preserve">LOCAL-KP-2026-07-16; исх. строка 202</t>
  </si>
  <si>
    <t xml:space="preserve">Геотекстиль иглопробивной термофиксированный ТЕХНОНИКОЛЬ ПРОФ КРОВЛЯ 300 (2х50м) или аналог (в т.ч. запас 10%)</t>
  </si>
  <si>
    <t xml:space="preserve">LOCAL-KP-2026-07-16; исх. строка 203</t>
  </si>
  <si>
    <t xml:space="preserve">Стяжка с уклоном 50-250мм (работа +материал)</t>
  </si>
  <si>
    <t xml:space="preserve">LAB-ROOF-AVG, LOCAL-KP-2026-07-16; исх. строка 204 | объём РД: АР л.8, ТИП 2, стяжка с уклоном</t>
  </si>
  <si>
    <t xml:space="preserve">Утеплитель RockWool Руф Баттс Н Оптима 1000х600х50 (3,60м2, 0,18м3) или аналог (толщина по проекту 250 мм) (в т.ч. запас 5%)</t>
  </si>
  <si>
    <t xml:space="preserve">MAT-ROOF-AVG; исх. строка 205</t>
  </si>
  <si>
    <t xml:space="preserve">Мембрана пароизоляционная Паробарьер СА 500 (54м2) или аналог (в т.ч. запас 10%)</t>
  </si>
  <si>
    <t xml:space="preserve">MAT-ROOF-AVG; исх. строка 206</t>
  </si>
  <si>
    <t xml:space="preserve">Материал кровельный Техноэласт ЭПП(10 х 1 м) (10м2)(материал рулонный кровельный и гидроизоляционный битумосодержащий) или аналог (в т.ч. запас 10%)</t>
  </si>
  <si>
    <t xml:space="preserve">LOCAL-KP-2026-07-16; исх. строка 207</t>
  </si>
  <si>
    <t xml:space="preserve">FORMULA-2PCT; исх. строка 208</t>
  </si>
  <si>
    <t xml:space="preserve">Доставка кровельных материалов</t>
  </si>
  <si>
    <t xml:space="preserve">LOCAL-KP-2026-07-16; исх. строка 209</t>
  </si>
  <si>
    <t xml:space="preserve">2. Устройство деревянного перекрытия 150 мм и вальмовой многоскатной кровли. Покрытие из черепицы Bras(мауэрлат, подшивка,стропильная система, обрешетка, утеплитель 150 мм, паро и гидроизоляция, устройство водостоков, софит)</t>
  </si>
  <si>
    <t xml:space="preserve">Устройство деревянного перекрытия 150 мм и вальмовой многоскатной кровли. Покрытие из черепицы Bras(мауэрлат, подшивка,стропильная система, обрешетка, утеплитель 150 мм, паро и гидроизоляция, устройство водостоков, софит)</t>
  </si>
  <si>
    <t xml:space="preserve">LAB-ROOF-AVG; исх. строка 212 | объём РД: АР л.8, кровля ТИП 1</t>
  </si>
  <si>
    <t xml:space="preserve">Огнебиозащита древесины за 1 раз</t>
  </si>
  <si>
    <t xml:space="preserve">LAB-ROOF-AVG; исх. строка 213 | объём РД: АР л.8, ТИП 1</t>
  </si>
  <si>
    <t xml:space="preserve">Брус обрезной естественной влажности 100х200 ГОСТ 8486-86 или аналог (объем по проекту в т.ч. запас 10%)</t>
  </si>
  <si>
    <t xml:space="preserve">MAT-TIMBER-AVG; исх. строка 214</t>
  </si>
  <si>
    <t xml:space="preserve">Доска обрезная естественной влажности 25х150 ГОСТ 8486-86 или аналог (подшивка перекрытия и зоны софитов) (в т.ч. запас 5 %)</t>
  </si>
  <si>
    <t xml:space="preserve">MAT-TIMBER-AVG; исх. строка 215</t>
  </si>
  <si>
    <t xml:space="preserve">Ондутис SMART B пароизоляционная пленка (70 м2) или аналог</t>
  </si>
  <si>
    <t xml:space="preserve">LOCAL-KP-2026-07-16; исх. строка 216</t>
  </si>
  <si>
    <t xml:space="preserve">Ондутис SMART D Гидро-пароизоляционная пленка (70 м2) или аналог</t>
  </si>
  <si>
    <t xml:space="preserve">LOCAL-KP-2026-07-16; исх. строка 217</t>
  </si>
  <si>
    <t xml:space="preserve">Утеплитель RockWool Руф Баттс Н Оптима 1000х600х50 (3,60м2, 0,18м3) или аналог (толщина по проекту 200 мм) (объем по проекту в т.ч. запас 5%)</t>
  </si>
  <si>
    <t xml:space="preserve">MAT-ROOF-AVG; исх. строка 218</t>
  </si>
  <si>
    <t xml:space="preserve">Брус обрезной естественной влажности 150х150 ГОСТ 8486-86 или аналог (объем по проекту в т.ч. запас 10%)</t>
  </si>
  <si>
    <t xml:space="preserve">MAT-TIMBER-AVG; исх. строка 219</t>
  </si>
  <si>
    <t xml:space="preserve">Мембрана диффузионная Технониколь Isobox АС (AS)(75м2) или аналог</t>
  </si>
  <si>
    <t xml:space="preserve">MAT-ROOF-AVG; исх. строка 220</t>
  </si>
  <si>
    <t xml:space="preserve">Брусок обрезной естественной влажности 50×50 мм ГОСТ 8486-86 или аналог (контробрешётка, запас 5%)</t>
  </si>
  <si>
    <t xml:space="preserve">MAT-TIMBER-AVG; исх. строка 221</t>
  </si>
  <si>
    <t xml:space="preserve">Брусок обрезной естественной влажности 50х50 ГОСТ 8486-86 или аналог (Обрешётка) (в т.ч. запас 5 %)</t>
  </si>
  <si>
    <t xml:space="preserve">MAT-TIMBER-AVG; исх. строка 222</t>
  </si>
  <si>
    <t xml:space="preserve">Рядная черепица 420×330 мм, расход 10,7 шт./м², запас 7%</t>
  </si>
  <si>
    <t xml:space="preserve">MAT-BRAAS-RRP; исх. строка 223 | объём РД: АР л.8: 437,98 м2 x 11,7 шт/м2</t>
  </si>
  <si>
    <t xml:space="preserve">Желобок ендовы L=1.45м (объем по проекту в т.ч. запас 7%)</t>
  </si>
  <si>
    <t xml:space="preserve">LOCAL-KP-2026-07-16; исх. строка 224 | объём РД: АР л.8</t>
  </si>
  <si>
    <t xml:space="preserve">Поролоновая полоса ендовы L=1м (объем по проекту в т.ч. запас 7%)</t>
  </si>
  <si>
    <t xml:space="preserve">LOCAL-KP-2026-07-16; исх. строка 225 | объём РД: АР л.8</t>
  </si>
  <si>
    <t xml:space="preserve">Крепежная скоба ендовы (6шт./м.п.) (объем по проекту в т.ч. запас 10%)</t>
  </si>
  <si>
    <t xml:space="preserve">LOCAL-KP-2026-07-16; исх. строка 226 | объём РД: АР л.8</t>
  </si>
  <si>
    <t xml:space="preserve">Коньковая черепица (3шт./м.п.) (объем по проекту в т.ч. запас 5%)</t>
  </si>
  <si>
    <t xml:space="preserve">MAT-BRAAS-RRP; исх. строка 227 | объём РД: АР л.8</t>
  </si>
  <si>
    <t xml:space="preserve">Аэроэлемент конька L=0.95м (объем по проекту в т.ч. запас 7%)</t>
  </si>
  <si>
    <t xml:space="preserve">MAT-BRAAS-RRP; исх. строка 228 | объём РД: АР л.8</t>
  </si>
  <si>
    <t xml:space="preserve">Карнизная планка (капельник) L=5м (объем по проекту в т.ч. запас 10%)</t>
  </si>
  <si>
    <t xml:space="preserve">MAT-ROOF-AVG; исх. строка 229 | объём РД: АР л.8</t>
  </si>
  <si>
    <t xml:space="preserve">Вентиляционная лента L=5 м, проект 11 шт. + запас 10%</t>
  </si>
  <si>
    <t xml:space="preserve">MAT-BRAAS-RRP; исх. строка 230 | объём РД: АР л.8</t>
  </si>
  <si>
    <t xml:space="preserve">Боковая левая минеральная черепица 420х330 (объем по проекту в т.ч. запас 5%)</t>
  </si>
  <si>
    <t xml:space="preserve">MAT-BRAAS-RRP; исх. строка 231 | объём РД: АР л.8</t>
  </si>
  <si>
    <t xml:space="preserve">Боковая правая минеральная черепица 420х330 (объем по проекту в т.ч. запас 5%)</t>
  </si>
  <si>
    <t xml:space="preserve">MAT-BRAAS-RRP; исх. строка 232 | объём РД: АР л.8</t>
  </si>
  <si>
    <t xml:space="preserve">Лента для примыканий Абрис 5х0,25 м (в т.ч. запас 10%)</t>
  </si>
  <si>
    <t xml:space="preserve">LOCAL-KP-2026-07-16; исх. строка 233 | объём РД: АР л.8</t>
  </si>
  <si>
    <t xml:space="preserve">Прижимная планка БРААС 2,4м х60/80 мм (объем по проекту в т.ч. запас 10%)</t>
  </si>
  <si>
    <t xml:space="preserve">LOCAL-KP-2026-07-16; исх. строка 234 | объём РД: АР л.8</t>
  </si>
  <si>
    <t xml:space="preserve">Желоб водосточный Foramina Freeze D125х3000 Серый Сланец или аналог (объем по проекту в т.ч. запас 5%)</t>
  </si>
  <si>
    <t xml:space="preserve">MAT-GUTTER-AVG; исх. строка 235 | объём РД: АР л.8</t>
  </si>
  <si>
    <t xml:space="preserve">Хомут/держатель водосточной трубы D100, проект 19 шт. + запас 3%</t>
  </si>
  <si>
    <t xml:space="preserve">MAT-GUTTER-AVG; исх. строка 236 | объём РД: АР л.8, хомут трубы</t>
  </si>
  <si>
    <t xml:space="preserve">Воронка выпускная Foramina Freeze D125/100 Серый Сланец или аналог (объем по проекту)</t>
  </si>
  <si>
    <t xml:space="preserve">MAT-GUTTER-AVG; исх. строка 237 | объём РД: АР л.8</t>
  </si>
  <si>
    <t xml:space="preserve">Заглушка желоба Foramina Freeze D125 Серый Сланец ил аналог (объем по проекту)</t>
  </si>
  <si>
    <t xml:space="preserve">MAT-GUTTER-AVG; исх. строка 238 | объём РД: АР л.8</t>
  </si>
  <si>
    <t xml:space="preserve">Труба водосточная D100х3000 Foramina Freeze (FRZ_D-01-Grey\Grey-0.5) или аналог (объем по проекту в т.ч. запас 5%)</t>
  </si>
  <si>
    <t xml:space="preserve">MAT-GUTTER-AVG; исх. строка 239 | объём РД: АР л.8</t>
  </si>
  <si>
    <t xml:space="preserve">Труба соединительная D100х1000 Foramina Freeze (FRZ_D-01-Grey\Grey-0.5) или аналог (объем по проекту)</t>
  </si>
  <si>
    <t xml:space="preserve">MAT-GUTTER-AVG; исх. строка 240 | объём РД: АР л.8, муфта трубы</t>
  </si>
  <si>
    <t xml:space="preserve">2.30</t>
  </si>
  <si>
    <t xml:space="preserve">Угол желоба наружный Foramina Freeze D125 Серый Сланец или аналог (объем по проекту)</t>
  </si>
  <si>
    <t xml:space="preserve">MAT-GUTTER-AVG; исх. строка 241 | объём РД: АР л.8</t>
  </si>
  <si>
    <t xml:space="preserve">Соединитель желоба Foramina Freeze D125 или совместимый аналог, запас 3%</t>
  </si>
  <si>
    <t xml:space="preserve">MAT-GUTTER-AVG; исх. строка 242 | объём РД: АР л.8</t>
  </si>
  <si>
    <t xml:space="preserve">Держатель желоба карнизный Foramina Freeze D125х132 Серый Сланец или аналог (объем по проекту в т.ч. запас 3%)</t>
  </si>
  <si>
    <t xml:space="preserve">MAT-GUTTER-AVG; исх. строка 243 | объём РД: АР л.8</t>
  </si>
  <si>
    <t xml:space="preserve">Дефлектор вытяжной вентиляции для плоской черепицы d125 Тегалит черный</t>
  </si>
  <si>
    <t xml:space="preserve">MAT-BRAAS-RRP; исх. строка 244</t>
  </si>
  <si>
    <t xml:space="preserve">Софит Lбрус-15×240 (MP-01-7024-0.45)</t>
  </si>
  <si>
    <t xml:space="preserve">MAT-ROOF-AVG; исх. строка 245</t>
  </si>
  <si>
    <t xml:space="preserve">Состав огнебиозащитный II группы бесцветный 10 кг (10 кг -33 м2)или аналог (в т.ч. запас 5%)</t>
  </si>
  <si>
    <t xml:space="preserve">LOCAL-KP-2026-07-16; исх. строка 246</t>
  </si>
  <si>
    <t xml:space="preserve">FORMULA-2PCT; исх. строка 247</t>
  </si>
  <si>
    <t xml:space="preserve">Доставка чистовых элементов кровли (Черепица, водосточная система, конек и тп)</t>
  </si>
  <si>
    <t xml:space="preserve">LOCAL-KP-2026-07-16; исх. строка 248</t>
  </si>
  <si>
    <t xml:space="preserve">Доставка элементов кровли (пароизоляция, гидроизоляция, утеплитель и тп)</t>
  </si>
  <si>
    <t xml:space="preserve">LOCAL-KP-2026-07-16; исх. строка 249</t>
  </si>
  <si>
    <t xml:space="preserve">2.40</t>
  </si>
  <si>
    <t xml:space="preserve">Доставка леса для кровли</t>
  </si>
  <si>
    <t xml:space="preserve">LOCAL-KP-2026-07-16; исх. строка 250</t>
  </si>
  <si>
    <t xml:space="preserve">ИТОГО ПО ЭТАПУ: 3. Кровля</t>
  </si>
  <si>
    <t xml:space="preserve">1. Окна - 94,20 м2, Melke Evolution 70 профиль ПВХ, 2-х камерный стеклопакет(3 стекла), ламинация с двух сторон Черно-коричневый (KDD17-U4) фурнитура FUTURUSS, подоконник белый RAL 9003 и отливы оцинкованные в цвет ламинации(согласно размеров спецификации)</t>
  </si>
  <si>
    <t xml:space="preserve">Установка оконных блоков</t>
  </si>
  <si>
    <t xml:space="preserve">LAB-WINDOW-AVG; исх. строка 255 | объём РД: АР л.7: 11 окон 26,87 + 12 витражей 67,32 | +В07 2900×3485 (10,1065 м²) по решению 28.07.2026</t>
  </si>
  <si>
    <t xml:space="preserve">Разгрузка окон</t>
  </si>
  <si>
    <t xml:space="preserve">LAB-WINDOW-AVG; исх. строка 256 | объём РД: АР л.7 | +В07 2900×3485 (10,1065 м²) по решению 28.07.2026</t>
  </si>
  <si>
    <t xml:space="preserve">Окна - 94,20 м2, Melke Evolution 70 профиль ПВХ, 2-х камерный стеклопакет(3 стекла), ламинация с двух сторон Черно-коричневый (KDD17-U4) фурнитура FUTURUSS</t>
  </si>
  <si>
    <t xml:space="preserve">комплект</t>
  </si>
  <si>
    <t xml:space="preserve">MAT-WINDOW-AVG; исх. строка 257</t>
  </si>
  <si>
    <t xml:space="preserve">Дополнительная комплектация окон: подоконники белые RAL 9003 и оцинкованные отливы в цвет ламинации</t>
  </si>
  <si>
    <t xml:space="preserve">FORMULA-WINDOW-12PCT; исх. строка 258</t>
  </si>
  <si>
    <t xml:space="preserve">Доставка (жёлтая зона) Москва и МО</t>
  </si>
  <si>
    <t xml:space="preserve">LOCAL-KP-2026-07-16; исх. строка 259</t>
  </si>
  <si>
    <t xml:space="preserve">2. Устройство входной двери утеплённой,размеры согласно проекту (1700х2100 мм(Высота)) - 1шт</t>
  </si>
  <si>
    <t xml:space="preserve">Дверь входная по проекту, 1700×2100 мм</t>
  </si>
  <si>
    <t xml:space="preserve">MAT-DOOR-AVG; исх. строка 262</t>
  </si>
  <si>
    <t xml:space="preserve">Доставка двери</t>
  </si>
  <si>
    <t xml:space="preserve">LOCAL-KP-2026-07-16; исх. строка 263</t>
  </si>
  <si>
    <t xml:space="preserve">ИТОГО ПО ЭТАПУ: 4. Окна и входная дверь</t>
  </si>
  <si>
    <t xml:space="preserve">1. Отделка цоколя клинкерной плиткой размерами 468х40 на клей с расшивкой швов толщиной 8-12 мм (площадь согласно проекту)</t>
  </si>
  <si>
    <t xml:space="preserve">Подготовительные работы (Очистка основания от грязи и пыли)</t>
  </si>
  <si>
    <t xml:space="preserve">LAB-PLINTH-AVG; исх. строка 268</t>
  </si>
  <si>
    <t xml:space="preserve">Гидроизоляция нижней части цоколя (Выравнивание основания,Грунтование основания за 1 раз,Устройство отсечки влаги, Обработка нижней зоны цоколя, Герметизация примыкания к отмостке)</t>
  </si>
  <si>
    <t xml:space="preserve">LAB-PLINTH-AVG; исх. строка 269</t>
  </si>
  <si>
    <t xml:space="preserve">Грунтование перед отделкой под клинкер(Нанесение кварцевого грунта, создание шероховатого основания, выдержка перед облицовкой)</t>
  </si>
  <si>
    <t xml:space="preserve">LAB-PLINTH-AVG; исх. строка 270</t>
  </si>
  <si>
    <t xml:space="preserve">Монтаж клинкерной плитки (разметка и наклейки плитки на клей в т.ч с подрезкой плитки, углы, откосы, подгонка)</t>
  </si>
  <si>
    <t xml:space="preserve">LAB-PLINTH-AVG; исх. строка 271</t>
  </si>
  <si>
    <t xml:space="preserve">Устройство швов (заполнение швов 8-12 мм водостойкой морозостойкой затиркой с расшивкой)</t>
  </si>
  <si>
    <t xml:space="preserve">LAB-PLINTH-AVG; исх. строка 272</t>
  </si>
  <si>
    <t xml:space="preserve">Устройство верхнего примыкания (защита верхнего края плитки, устройство капельника, герметизация)</t>
  </si>
  <si>
    <t xml:space="preserve">LAB-PLINTH-AVG; исх. строка 273</t>
  </si>
  <si>
    <t xml:space="preserve">Обработка после монтажа (удаление остатков раствора, очистка плитки, нанесение защитного состава)</t>
  </si>
  <si>
    <t xml:space="preserve">LAB-PLINTH-AVG; исх. строка 274</t>
  </si>
  <si>
    <t xml:space="preserve">Грунтовка глубокого проникновения (расход 0,2–0,3 л/м²) кратно 10/5/1 л или аналог (в т.ч. запас 12%)</t>
  </si>
  <si>
    <t xml:space="preserve">л</t>
  </si>
  <si>
    <t xml:space="preserve">LOCAL-KP-2026-07-16; исх. строка 275</t>
  </si>
  <si>
    <t xml:space="preserve">Штукатурная смесь для выравнивания(Штукатурка цементная Волма Цоколь 25 кг) (расход 15 кг/м²) или аналог (в т.ч. запас 25%)</t>
  </si>
  <si>
    <t xml:space="preserve">MAT-PLINTH-AVG; исх. строка 276</t>
  </si>
  <si>
    <t xml:space="preserve">Полимерцементная гидроизоляция (Гидроизоляция полимерная Боларс HydroFlex 6 кг) (расход 2–3 кг/м) или аналог (в т.ч. запас 17%)</t>
  </si>
  <si>
    <t xml:space="preserve">MAT-PLINTH-AVG; исх. строка 277</t>
  </si>
  <si>
    <t xml:space="preserve">Гидроизоляционная лента Plitonit ГидроЛента 120 мм 10 м (углы) или аналог (в т.ч. запас 15%)</t>
  </si>
  <si>
    <t xml:space="preserve">MAT-PLINTH-AVG; исх. строка 278</t>
  </si>
  <si>
    <t xml:space="preserve">Праймер под гидроизоляцию (Праймер битумный Технониколь AquaMast 2.4 кг 3 л)(расход 0,25 кг/м²) или аналог (в т.ч. запас 12%)</t>
  </si>
  <si>
    <t xml:space="preserve">MAT-PLINTH-AVG; исх. строка 279</t>
  </si>
  <si>
    <t xml:space="preserve">Адгезионный грунт с кварцем (Кварц-грунт Bayramix Астар цвет белый 7 кг)(расход 0,4 кг/м²) или аналог (в т.ч. запас 12%)</t>
  </si>
  <si>
    <t xml:space="preserve">MAT-PLINTH-AVG; исх. строка 280</t>
  </si>
  <si>
    <t xml:space="preserve">Фасадная клинкерная плитка Размер: 468х40х10, Количество в упаковке: 23 шт. (0,561 м2) (1 м2 = 41 шт) или аналог (в т.ч. запас 12%)</t>
  </si>
  <si>
    <t xml:space="preserve">MAT-PLINTH-AVG; исх. строка 281</t>
  </si>
  <si>
    <t xml:space="preserve">Клей для камня и керамогранита VetonitУльтра Фикс усиленный эластичный 25 кг(расход 5 кг/м².) или аналог (в т.ч. запас 17%)</t>
  </si>
  <si>
    <t xml:space="preserve">MAT-PLINTH-AVG; исх. строка 282</t>
  </si>
  <si>
    <t xml:space="preserve">Затирка цементная для швов клинкерной плитки 468×40×10 мм, количество 178 кг</t>
  </si>
  <si>
    <t xml:space="preserve">MAT-PLINTH-AVG; исх. строка 283</t>
  </si>
  <si>
    <t xml:space="preserve">Очиститель для удаления остатков цементных растворов Litopower CE 1 л(расход 0,2 л/м²) или аналог (в т.ч. запас 12%)</t>
  </si>
  <si>
    <t xml:space="preserve">MAT-PLINTH-AVG; исх. строка 284</t>
  </si>
  <si>
    <t xml:space="preserve">Пластина 20x2000 мм алюминий цвет на выбор или аналог (в т.ч. запас 10%)</t>
  </si>
  <si>
    <t xml:space="preserve">LOCAL-KP-2026-07-16; исх. строка 285</t>
  </si>
  <si>
    <t xml:space="preserve">Герметик полиуретановый Remont Plus PU-25 серый 280 мл или аналог (герметик: 1 картридж 290 мл на 6 погонных метров.) (в т.ч. запас 15%)</t>
  </si>
  <si>
    <t xml:space="preserve">MAT-PLINTH-AVG; исх. строка 286</t>
  </si>
  <si>
    <t xml:space="preserve">Средство для очистки керамогранита и клинкера Plitonit 1 л или аналог (расход 0.007/м2) (в т.ч. запас 12%)</t>
  </si>
  <si>
    <t xml:space="preserve">MAT-PLINTH-AVG; исх. строка 287</t>
  </si>
  <si>
    <t xml:space="preserve">Гидрофобизатор профессиональный Temonten 5л (расход 0,4 л/м²) или аналог (в т.ч. запас 17%)</t>
  </si>
  <si>
    <t xml:space="preserve">LOCAL-KP-2026-07-16; исх. строка 288</t>
  </si>
  <si>
    <t xml:space="preserve">FORMULA-2PCT; исх. строка 289</t>
  </si>
  <si>
    <t xml:space="preserve">Доставка черновых материалов</t>
  </si>
  <si>
    <t xml:space="preserve">LOCAL-KP-2026-07-16; исх. строка 290</t>
  </si>
  <si>
    <t xml:space="preserve">Доставка чистовых материалов</t>
  </si>
  <si>
    <t xml:space="preserve">LOCAL-KP-2026-07-16; исх. строка 291</t>
  </si>
  <si>
    <t xml:space="preserve">ИТОГО ПО ЭТАПУ: 5. Отделка цоколя</t>
  </si>
  <si>
    <t xml:space="preserve">ИТОГО ПО СМЕТЕ (УЧТЕНО)</t>
  </si>
  <si>
    <t xml:space="preserve">БАЗОВЫЙ ИТОГ</t>
  </si>
  <si>
    <t xml:space="preserve">ДОПОЛНИТЕЛЬНЫЕ ОБЪЕМЫ — НЕ ВКЛЮЧЕНЫ В БАЗОВЫЙ ИТОГ</t>
  </si>
  <si>
    <t xml:space="preserve">ЗАКАЗ 8012 • ВЕДОМОСТЬ МАТЕРИАЛОВ</t>
  </si>
  <si>
    <t xml:space="preserve">ЦЕНА И СТОИМОСТЬ</t>
  </si>
  <si>
    <t xml:space="preserve">СТАТУС И ОСНОВАНИЕ</t>
  </si>
  <si>
    <t xml:space="preserve">Цены на 22.07.2026, редакция от 03.08.2026 • Москва и Московская область</t>
  </si>
  <si>
    <t xml:space="preserve">Количество и стоимость</t>
  </si>
  <si>
    <t xml:space="preserve">Материалы сгруппированы по этапам сметы</t>
  </si>
  <si>
    <t xml:space="preserve">Расходные материалы рассчитаны по формуле</t>
  </si>
  <si>
    <t xml:space="preserve">Наименование материала</t>
  </si>
  <si>
    <t xml:space="preserve">Ед.</t>
  </si>
  <si>
    <t xml:space="preserve">Кол-во</t>
  </si>
  <si>
    <t xml:space="preserve">Цена, руб./ед.</t>
  </si>
  <si>
    <t xml:space="preserve">Стоимость, руб.</t>
  </si>
  <si>
    <t xml:space="preserve">Статус цены</t>
  </si>
  <si>
    <t xml:space="preserve">Включение</t>
  </si>
  <si>
    <t xml:space="preserve">Основание</t>
  </si>
  <si>
    <t xml:space="preserve">client_directed</t>
  </si>
  <si>
    <t xml:space="preserve">LAB-FOUNDATION-AVG, MAT-CONCRETE-AVG; исх. строка 21; DISCOUNT-CLIENT-2026-07-31, минус 20%</t>
  </si>
  <si>
    <t xml:space="preserve">LAB-FOUNDATION-AVG, MAT-CONCRETE-AVG; исх. строка 22; DISCOUNT-CLIENT-2026-07-31, минус 20%</t>
  </si>
  <si>
    <t xml:space="preserve">LAB-FOUNDATION-AVG, MAT-CONCRETE-AVG; исх. строка 23; DISCOUNT-CLIENT-2026-07-31, минус 20%</t>
  </si>
  <si>
    <t xml:space="preserve">market_average</t>
  </si>
  <si>
    <t xml:space="preserve">MAT-METAL-AVG; исх. строка 39; КР0, таблица масс: Ø12 A500C; DISCOUNT-CLIENT-2026-07-31, минус 20%</t>
  </si>
  <si>
    <t xml:space="preserve">MAT-METAL-AVG; исх. строка 40; КР0, таблица масс: Ø10 A500C; DISCOUNT-CLIENT-2026-07-31, минус 20%</t>
  </si>
  <si>
    <t xml:space="preserve">MAT-METAL-AVG; исх. строка 41; КР0, таблица масс: Ø8 A240; DISCOUNT-CLIENT-2026-07-31, минус 20%</t>
  </si>
  <si>
    <t xml:space="preserve">MAT-CONCRETE-AVG; исх. строка 42; DISCOUNT-CLIENT-2026-07-31, минус 20%</t>
  </si>
  <si>
    <t xml:space="preserve">supplier_quote</t>
  </si>
  <si>
    <t xml:space="preserve">MAT-CONCRETE-AVG; исх. строка 53; DISCOUNT-CLIENT-2026-07-31, минус 20%</t>
  </si>
  <si>
    <t xml:space="preserve">formula</t>
  </si>
  <si>
    <t xml:space="preserve">MAT-METAL-AVG; исх. строка 125; DISCOUNT-CLIENT-2026-07-31, минус 20%</t>
  </si>
  <si>
    <t xml:space="preserve">MAT-METAL-AVG; исх. строка 126; DISCOUNT-CLIENT-2026-07-31, минус 20%</t>
  </si>
  <si>
    <t xml:space="preserve">MAT-METAL-AVG; исх. строка 141; DISCOUNT-CLIENT-2026-07-31, минус 20%</t>
  </si>
  <si>
    <t xml:space="preserve">MAT-METAL-AVG; исх. строка 142; DISCOUNT-CLIENT-2026-07-31, минус 20%</t>
  </si>
  <si>
    <t xml:space="preserve">MAT-CONCRETE-AVG; исх. строка 143; DISCOUNT-CLIENT-2026-07-31, минус 20%</t>
  </si>
  <si>
    <t xml:space="preserve">MAT-METAL-AVG; исх. строка 157; DISCOUNT-CLIENT-2026-07-31, минус 20%</t>
  </si>
  <si>
    <t xml:space="preserve">MAT-METAL-AVG; исх. строка 158; DISCOUNT-CLIENT-2026-07-31, минус 20%</t>
  </si>
  <si>
    <t xml:space="preserve">MAT-METAL-AVG; исх. строка 159; DISCOUNT-CLIENT-2026-07-31, минус 20%</t>
  </si>
  <si>
    <t xml:space="preserve">MAT-CONCRETE-AVG; исх. строка 161; DISCOUNT-CLIENT-2026-07-31, минус 20%</t>
  </si>
  <si>
    <t xml:space="preserve">LOCAL-KP-2026-07-16; исх. строка 177</t>
  </si>
  <si>
    <t xml:space="preserve">MAT-METAL-AVG; исх. строка 178; DISCOUNT-CLIENT-2026-07-31, минус 20%</t>
  </si>
  <si>
    <t xml:space="preserve">MAT-METAL-AVG; исх. строка 179; DISCOUNT-CLIENT-2026-07-31, минус 20%</t>
  </si>
  <si>
    <t xml:space="preserve">MAT-CONCRETE-AVG; исх. строка 180; DISCOUNT-CLIENT-2026-07-31, минус 20%</t>
  </si>
  <si>
    <t xml:space="preserve">LAB-ROOF-AVG, LOCAL-KP-2026-07-16; исх. строка 204</t>
  </si>
  <si>
    <t xml:space="preserve">official_rrp</t>
  </si>
  <si>
    <t xml:space="preserve">MAT-BRAAS-RRP; исх. строка 223</t>
  </si>
  <si>
    <t xml:space="preserve">LOCAL-KP-2026-07-16; исх. строка 224</t>
  </si>
  <si>
    <t xml:space="preserve">LOCAL-KP-2026-07-16; исх. строка 225</t>
  </si>
  <si>
    <t xml:space="preserve">LOCAL-KP-2026-07-16; исх. строка 226</t>
  </si>
  <si>
    <t xml:space="preserve">MAT-BRAAS-RRP; исх. строка 227</t>
  </si>
  <si>
    <t xml:space="preserve">MAT-BRAAS-RRP; исх. строка 228</t>
  </si>
  <si>
    <t xml:space="preserve">MAT-ROOF-AVG; исх. строка 229</t>
  </si>
  <si>
    <t xml:space="preserve">MAT-BRAAS-RRP; исх. строка 230</t>
  </si>
  <si>
    <t xml:space="preserve">MAT-BRAAS-RRP; исх. строка 231</t>
  </si>
  <si>
    <t xml:space="preserve">MAT-BRAAS-RRP; исх. строка 232</t>
  </si>
  <si>
    <t xml:space="preserve">LOCAL-KP-2026-07-16; исх. строка 233</t>
  </si>
  <si>
    <t xml:space="preserve">LOCAL-KP-2026-07-16; исх. строка 234</t>
  </si>
  <si>
    <t xml:space="preserve">MAT-GUTTER-AVG; исх. строка 235</t>
  </si>
  <si>
    <t xml:space="preserve">MAT-GUTTER-AVG; исх. строка 236</t>
  </si>
  <si>
    <t xml:space="preserve">MAT-GUTTER-AVG; исх. строка 237</t>
  </si>
  <si>
    <t xml:space="preserve">MAT-GUTTER-AVG; исх. строка 238</t>
  </si>
  <si>
    <t xml:space="preserve">MAT-GUTTER-AVG; исх. строка 239</t>
  </si>
  <si>
    <t xml:space="preserve">MAT-GUTTER-AVG; исх. строка 240</t>
  </si>
  <si>
    <t xml:space="preserve">MAT-GUTTER-AVG; исх. строка 241</t>
  </si>
  <si>
    <t xml:space="preserve">MAT-GUTTER-AVG; исх. строка 242</t>
  </si>
  <si>
    <t xml:space="preserve">MAT-GUTTER-AVG; исх. строка 243</t>
  </si>
  <si>
    <t xml:space="preserve">MAT-WINDOW-AVG; исх. строка 257; +В07 (АР л.7) по решению 28.07.2026</t>
  </si>
  <si>
    <t xml:space="preserve">FORMULA-WINDOW-12PCT; исх. строка 258; +В07 (АР л.7) по решению 28.07.2026</t>
  </si>
  <si>
    <t xml:space="preserve">ИТОГО МАТЕРИАЛОВ (УЧТЕНО)</t>
  </si>
  <si>
    <t xml:space="preserve">ДОПОЛНИТЕЛЬНЫЕ ОБЪЕМЫ (НЕ ВКЛЮЧЕНЫ В БАЗОВЫЙ ИТОГ)</t>
  </si>
  <si>
    <t xml:space="preserve">ЗАКАЗ 8012 • ОСНОВАНИЯ</t>
  </si>
  <si>
    <t xml:space="preserve">СТАВКИ И СТАТУСЫ</t>
  </si>
  <si>
    <t xml:space="preserve">ДАТА И ИСТОЧНИК</t>
  </si>
  <si>
    <t xml:space="preserve">ПРИМЕЧАНИЕ</t>
  </si>
  <si>
    <t xml:space="preserve">Параметр</t>
  </si>
  <si>
    <t xml:space="preserve">Значение</t>
  </si>
  <si>
    <t xml:space="preserve">Применение</t>
  </si>
  <si>
    <t xml:space="preserve">Страховые начисления</t>
  </si>
  <si>
    <t xml:space="preserve">Только от видимой базы труда</t>
  </si>
  <si>
    <t xml:space="preserve">Прежний коэффициент</t>
  </si>
  <si>
    <t xml:space="preserve">Удален из работ, механизмов и доставки; не имел объясненного основания</t>
  </si>
  <si>
    <t xml:space="preserve">Дата проверки цен</t>
  </si>
  <si>
    <t xml:space="preserve">Перед закупкой обновить по счетам поставщиков</t>
  </si>
  <si>
    <t xml:space="preserve">Статус книги</t>
  </si>
  <si>
    <t xml:space="preserve">READY_FOR_MANUAL_DELIVERY</t>
  </si>
  <si>
    <t xml:space="preserve">MAX send not performed</t>
  </si>
  <si>
    <t xml:space="preserve">ID</t>
  </si>
  <si>
    <t xml:space="preserve">Категория</t>
  </si>
  <si>
    <t xml:space="preserve">Принятая ставка / правило</t>
  </si>
  <si>
    <t xml:space="preserve">basis_type</t>
  </si>
  <si>
    <t xml:space="preserve">НДС</t>
  </si>
  <si>
    <t xml:space="preserve">Дата</t>
  </si>
  <si>
    <t xml:space="preserve">URL / локальный источник</t>
  </si>
  <si>
    <t xml:space="preserve">Примечание</t>
  </si>
  <si>
    <t xml:space="preserve">LAB-FOUNDATION-AVG</t>
  </si>
  <si>
    <t xml:space="preserve">труд</t>
  </si>
  <si>
    <t xml:space="preserve">Фундамент и инженерные вводы — средние/медианные ставки</t>
  </si>
  <si>
    <t xml:space="preserve">в принятой ставке</t>
  </si>
  <si>
    <t xml:space="preserve">по строке сметы</t>
  </si>
  <si>
    <t xml:space="preserve">accepted_market_basis</t>
  </si>
  <si>
    <t xml:space="preserve">Открыть источник: arialstroy.ru</t>
  </si>
  <si>
    <t xml:space="preserve">Полный перечень и нормализация: 00_Управление/market_rates_8012_2026-07-22.json</t>
  </si>
  <si>
    <t xml:space="preserve">LAB-SHELL-AVG</t>
  </si>
  <si>
    <t xml:space="preserve">Кладка, перемычки, армопояса и перекрытие — средние/медианные ставки</t>
  </si>
  <si>
    <t xml:space="preserve">Открыть источник: www.merezh.ru</t>
  </si>
  <si>
    <t xml:space="preserve">LAB-ROOF-AVG</t>
  </si>
  <si>
    <t xml:space="preserve">Плоская и скатная кровля — средние/медианные ставки</t>
  </si>
  <si>
    <t xml:space="preserve">Открыть источник: roof.ru</t>
  </si>
  <si>
    <t xml:space="preserve">LAB-WINDOW-AVG</t>
  </si>
  <si>
    <t xml:space="preserve">Монтаж и разгрузка окон — средние ставки</t>
  </si>
  <si>
    <t xml:space="preserve">Открыть источник: i-okna.ru</t>
  </si>
  <si>
    <t xml:space="preserve">LAB-PLINTH-AVG</t>
  </si>
  <si>
    <t xml:space="preserve">Отделка цоколя — средние/медианные ставки</t>
  </si>
  <si>
    <t xml:space="preserve">Открыть источник: 2fasad.ru</t>
  </si>
  <si>
    <t xml:space="preserve">MAT-CONCRETE-AVG</t>
  </si>
  <si>
    <t xml:space="preserve">материал</t>
  </si>
  <si>
    <t xml:space="preserve">Раствор и бетон — средние цены поставщиков</t>
  </si>
  <si>
    <t xml:space="preserve">supplier_average</t>
  </si>
  <si>
    <t xml:space="preserve">Открыть источник: beton50.com</t>
  </si>
  <si>
    <t xml:space="preserve">MAT-METAL-AVG</t>
  </si>
  <si>
    <t xml:space="preserve">Арматура и уголок — средние цены металлобаз</t>
  </si>
  <si>
    <t xml:space="preserve">Открыть источник: www.szmetal.ru</t>
  </si>
  <si>
    <t xml:space="preserve">MAT-SAND-AVG</t>
  </si>
  <si>
    <t xml:space="preserve">Песок — средние цены с доставкой</t>
  </si>
  <si>
    <t xml:space="preserve">Открыть источник: technogrunt.ru</t>
  </si>
  <si>
    <t xml:space="preserve">MAT-KERAMZIT-AVG</t>
  </si>
  <si>
    <t xml:space="preserve">Керамзит — средняя цена с доставкой</t>
  </si>
  <si>
    <t xml:space="preserve">Локальный файл: Смета_итоговая.xlsx</t>
  </si>
  <si>
    <t xml:space="preserve">PRICE-FIBROTEK-2026-07-28</t>
  </si>
  <si>
    <t xml:space="preserve">ФиброТек Про — прайс изготовителя, позиции без лицевой отделки (фасад закрыт отделкой по АР л.13, л.16)</t>
  </si>
  <si>
    <t xml:space="preserve">manufacturer_price</t>
  </si>
  <si>
    <t xml:space="preserve">manufacturer_price_quote</t>
  </si>
  <si>
    <t xml:space="preserve">Локальный файл: файлы от клиента/2026-07-28/Прайс_ФиброТек_Про_СКГ_2026-07-28.webp</t>
  </si>
  <si>
    <t xml:space="preserve">Цена за м² кладки переведена в руб/шт через грань блока; работа = разница «с работой» и «без работы». Сверка: 00_Управление/ПРАЙС_ФИБРОТЕК_СВЕРКА_2026-07-29.md</t>
  </si>
  <si>
    <t xml:space="preserve">MAT-TIMBER-AVG</t>
  </si>
  <si>
    <t xml:space="preserve">Пиломатериал — средние цены лесобаз</t>
  </si>
  <si>
    <t xml:space="preserve">Открыть источник: u-brus.ru</t>
  </si>
  <si>
    <t xml:space="preserve">MAT-FORMWORK-AVG</t>
  </si>
  <si>
    <t xml:space="preserve">Фанера для опалубки — средняя цена</t>
  </si>
  <si>
    <t xml:space="preserve">MAT-ROOF-AVG</t>
  </si>
  <si>
    <t xml:space="preserve">Мембраны, утеплитель и комплектующие кровли — средние цены</t>
  </si>
  <si>
    <t xml:space="preserve">Открыть источник: moscow.petrovich.ru</t>
  </si>
  <si>
    <t xml:space="preserve">MAT-BRAAS-RRP</t>
  </si>
  <si>
    <t xml:space="preserve">BRAAS — официальная РРЦ и медианы точных карточек</t>
  </si>
  <si>
    <t xml:space="preserve">manufacturer_rrp</t>
  </si>
  <si>
    <t xml:space="preserve">Открыть источник: www.braas.ru</t>
  </si>
  <si>
    <t xml:space="preserve">MAT-GUTTER-AVG</t>
  </si>
  <si>
    <t xml:space="preserve">Foramina Freeze — средние цены точной системы</t>
  </si>
  <si>
    <t xml:space="preserve">Открыть источник: metallprofil.ru</t>
  </si>
  <si>
    <t xml:space="preserve">MAT-WINDOW-AVG</t>
  </si>
  <si>
    <t xml:space="preserve">Melke Evolution — средняя категория с учетом ламинации</t>
  </si>
  <si>
    <t xml:space="preserve">Открыть источник: www.melke.ru</t>
  </si>
  <si>
    <t xml:space="preserve">MAT-DOOR-AVG</t>
  </si>
  <si>
    <t xml:space="preserve">Утепленная двустворчатая дверь — медиана рынка</t>
  </si>
  <si>
    <t xml:space="preserve">supplier_median</t>
  </si>
  <si>
    <t xml:space="preserve">Открыть источник: mir-doors.ru</t>
  </si>
  <si>
    <t xml:space="preserve">MAT-PLINTH-AVG</t>
  </si>
  <si>
    <t xml:space="preserve">Система отделки цоколя — средние цены точных товаров</t>
  </si>
  <si>
    <t xml:space="preserve">Открыть источник: volmatech.ru</t>
  </si>
  <si>
    <t xml:space="preserve">MECH-PUMP-AVG</t>
  </si>
  <si>
    <t xml:space="preserve">механизм</t>
  </si>
  <si>
    <t xml:space="preserve">Автобетононасос 42 м — средняя ставка смены</t>
  </si>
  <si>
    <t xml:space="preserve">Открыть источник: ooombeton.ru</t>
  </si>
  <si>
    <t xml:space="preserve">MECH-FORMWORK-AVG</t>
  </si>
  <si>
    <t xml:space="preserve">Аренда опалубки перекрытия — рыночная медиана</t>
  </si>
  <si>
    <t xml:space="preserve">market_median</t>
  </si>
  <si>
    <t xml:space="preserve">LOCAL-KP-2026-07-16</t>
  </si>
  <si>
    <t xml:space="preserve">материалы/механизмы/доставка</t>
  </si>
  <si>
    <t xml:space="preserve">Точные малые позиции по прямому КП от 16.07.2026</t>
  </si>
  <si>
    <t xml:space="preserve">local_supplier_quote</t>
  </si>
  <si>
    <t xml:space="preserve">по КП</t>
  </si>
  <si>
    <t xml:space="preserve">accepted_supplier_quote</t>
  </si>
  <si>
    <t xml:space="preserve">/home/artem/zcore-local/Заказы profi.ru/Project/8012 Смета/файлы от клиента/2026-07-22/КП_от_16_07_2026_Строительство_мансардного_дома_365_м2застройка.xlsx</t>
  </si>
  <si>
    <t xml:space="preserve">FORMULA-2PCT</t>
  </si>
  <si>
    <t xml:space="preserve">материалы</t>
  </si>
  <si>
    <t xml:space="preserve">Расходные материалы — 2% от стоимости группы</t>
  </si>
  <si>
    <t xml:space="preserve">calculation_formula</t>
  </si>
  <si>
    <t xml:space="preserve">по базе группы</t>
  </si>
  <si>
    <t xml:space="preserve">в составе группы</t>
  </si>
  <si>
    <t xml:space="preserve">Формула связана с обновленной материальной базой.</t>
  </si>
  <si>
    <t xml:space="preserve">FORMULA-WINDOW-12PCT</t>
  </si>
  <si>
    <t xml:space="preserve">Дополнительная комплектация окон — 12% от оконного комплекта</t>
  </si>
  <si>
    <t xml:space="preserve">по базе окна</t>
  </si>
  <si>
    <t xml:space="preserve">в составе позиции</t>
  </si>
  <si>
    <t xml:space="preserve">1 597 520 x 12% = 191 702,40 руб.</t>
  </si>
  <si>
    <t xml:space="preserve">DISCOUNT-CLIENT-2026-07-31</t>
  </si>
  <si>
    <t xml:space="preserve">Бетон, арматура и металлопрокат — цена принята на 20% ниже базы 22.07.2026</t>
  </si>
  <si>
    <t xml:space="preserve">client_directed_discount</t>
  </si>
  <si>
    <t xml:space="preserve">client_instruction</t>
  </si>
  <si>
    <t xml:space="preserve">Указание заказчика сметы от 31.07.2026</t>
  </si>
  <si>
    <t xml:space="preserve">Снижение применено к 31 позиции листа «Материалы»: бетон, подбетонка, раствор стяжки, арматура, уголок, сетка, проволока. Прежние основания MAT-CONCRETE-AVG, MAT-METAL-AVG и LOCAL-KP-2026-07-16 сохранены в тексте строк: цена ниже подтверждённой рыночной.</t>
  </si>
  <si>
    <t xml:space="preserve">ЗАКАЗ 8012 • ЗАМЕЧАНИЯ</t>
  </si>
  <si>
    <t xml:space="preserve">РЕШЕНИЕ И КОНТРОЛЬ</t>
  </si>
  <si>
    <t xml:space="preserve">ОСТАТОЧНЫЙ РИСК</t>
  </si>
  <si>
    <t xml:space="preserve">MAX/аудио → строка или формула</t>
  </si>
  <si>
    <t xml:space="preserve">PASS = расчетная проверка</t>
  </si>
  <si>
    <t xml:space="preserve">PASS ≠ release</t>
  </si>
  <si>
    <t xml:space="preserve">Источник</t>
  </si>
  <si>
    <t xml:space="preserve">Требование / замечание</t>
  </si>
  <si>
    <t xml:space="preserve">Принятое решение</t>
  </si>
  <si>
    <t xml:space="preserve">Факт</t>
  </si>
  <si>
    <t xml:space="preserve">Ожидается</t>
  </si>
  <si>
    <t xml:space="preserve">Остаточный риск</t>
  </si>
  <si>
    <t xml:space="preserve">C-01</t>
  </si>
  <si>
    <t xml:space="preserve">Аудио</t>
  </si>
  <si>
    <t xml:space="preserve">Видимые удельные ставки по работе, материалу, механизмам и доставке</t>
  </si>
  <si>
    <t xml:space="preserve">Колонки G/J/L/N и суммы H/K/M/O</t>
  </si>
  <si>
    <t xml:space="preserve">PASS</t>
  </si>
  <si>
    <t xml:space="preserve">C-02</t>
  </si>
  <si>
    <t xml:space="preserve">MAX</t>
  </si>
  <si>
    <t xml:space="preserve">Страховые 30% только от базы труда</t>
  </si>
  <si>
    <t xml:space="preserve">Колонка I = ROUND(H × 30%; 2); допуск свода 5 коп.</t>
  </si>
  <si>
    <t xml:space="preserve">Обратная раскладка public gross не является бухучетом бригады</t>
  </si>
  <si>
    <t xml:space="preserve">C-03</t>
  </si>
  <si>
    <t xml:space="preserve">MAX/КР0</t>
  </si>
  <si>
    <t xml:space="preserve">Стяжка 14,4 м³ при 40 мм</t>
  </si>
  <si>
    <t xml:space="preserve">305 + 42,5 + 12,5 = 360 м²</t>
  </si>
  <si>
    <t xml:space="preserve">C-04</t>
  </si>
  <si>
    <t xml:space="preserve">КР0</t>
  </si>
  <si>
    <t xml:space="preserve">Масса арматуры плит</t>
  </si>
  <si>
    <t xml:space="preserve">7,4299 + 1,0116 + 0,0667 = 8,5082 т</t>
  </si>
  <si>
    <t xml:space="preserve">Массы нетто, без добавленного перехлеста</t>
  </si>
  <si>
    <t xml:space="preserve">C-05</t>
  </si>
  <si>
    <t xml:space="preserve">Бетон плит B25 W6 F200</t>
  </si>
  <si>
    <t xml:space="preserve">101,7 м³ учтено; 11,8 м³ резерв исключен</t>
  </si>
  <si>
    <t xml:space="preserve">C-06</t>
  </si>
  <si>
    <t xml:space="preserve">АР</t>
  </si>
  <si>
    <t xml:space="preserve">Блок 120 мм</t>
  </si>
  <si>
    <t xml:space="preserve">4 160 шт. по поэтажному объему 36,79 м³</t>
  </si>
  <si>
    <t xml:space="preserve">Сводная спецификация показывает 35,36 м³</t>
  </si>
  <si>
    <t xml:space="preserve">C-07</t>
  </si>
  <si>
    <t xml:space="preserve">MAX/АР</t>
  </si>
  <si>
    <t xml:space="preserve">Рядовая черепица</t>
  </si>
  <si>
    <t xml:space="preserve">5 015 шт. по согласованной ранее формуле</t>
  </si>
  <si>
    <t xml:space="preserve">АР 11,7 шт./м² требует решения до закупки</t>
  </si>
  <si>
    <t xml:space="preserve">C-08</t>
  </si>
  <si>
    <t xml:space="preserve">Коньковая черепица и аэроэлемент</t>
  </si>
  <si>
    <t xml:space="preserve">164 и 54 шт.; дубль 94 шт. и код 2.33 исключены</t>
  </si>
  <si>
    <t xml:space="preserve">C-09</t>
  </si>
  <si>
    <t xml:space="preserve">Вентлента, хомуты, соединитель желоба</t>
  </si>
  <si>
    <t xml:space="preserve">13 / 20 / 9 шт.; соединитель D125</t>
  </si>
  <si>
    <t xml:space="preserve">D125 в PDF прямо не указан</t>
  </si>
  <si>
    <t xml:space="preserve">C-10</t>
  </si>
  <si>
    <t xml:space="preserve">Керамзит</t>
  </si>
  <si>
    <t xml:space="preserve">11 машин по 10 м³</t>
  </si>
  <si>
    <t xml:space="preserve">110 м³ только по КП; доставка в цене не выделена</t>
  </si>
  <si>
    <t xml:space="preserve">C-11</t>
  </si>
  <si>
    <t xml:space="preserve">MAX/Аудио</t>
  </si>
  <si>
    <t xml:space="preserve">Исправить нулевые и символические ставки</t>
  </si>
  <si>
    <t xml:space="preserve">Ключевые строки 24:27, 37, 121, 137:139, 155, 174:176 имеют положительную ставку</t>
  </si>
  <si>
    <t xml:space="preserve">Ставки предварительны до КП бригады</t>
  </si>
  <si>
    <t xml:space="preserve">C-12</t>
  </si>
  <si>
    <t xml:space="preserve">Исправить наименования террасы и крыльца</t>
  </si>
  <si>
    <t xml:space="preserve">В строках подбетонки и бетонирования указаны верные части дома</t>
  </si>
  <si>
    <t xml:space="preserve">C-13</t>
  </si>
  <si>
    <t xml:space="preserve">Аренда опалубки в механизмах</t>
  </si>
  <si>
    <t xml:space="preserve">Строка 164 имеет ставку в L/M, а не в J/K</t>
  </si>
  <si>
    <t xml:space="preserve">C-14</t>
  </si>
  <si>
    <t xml:space="preserve">Материалы по рынку с НДС</t>
  </si>
  <si>
    <t xml:space="preserve">Ключевые цены датированы; остальные помечены vat_unconfirmed_quote_required</t>
  </si>
  <si>
    <t xml:space="preserve">PARTIAL</t>
  </si>
  <si>
    <t xml:space="preserve">До счетов поставщиков не являются фактической закупкой; release закрыт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</si>
</sst>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[RED]\-#,##0.00;\–"/>
    <numFmt numFmtId="166" formatCode="0.0%"/>
    <numFmt numFmtId="167" formatCode="#,##0.####"/>
    <numFmt numFmtId="168" formatCode="0%"/>
    <numFmt numFmtId="169" formatCode="dd\.mm\.yyyy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b val="true"/>
      <sz val="10"/>
      <color rgb="FF17365D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7365D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8.5"/>
      <color rgb="FF17365D"/>
      <name val="Arial"/>
      <family val="0"/>
      <charset val="1"/>
    </font>
    <font>
      <i val="true"/>
      <sz val="7.5"/>
      <color rgb="FF404040"/>
      <name val="Arial"/>
      <family val="0"/>
      <charset val="1"/>
    </font>
    <font>
      <sz val="7.5"/>
      <color rgb="FF000000"/>
      <name val="Arial"/>
      <family val="0"/>
      <charset val="1"/>
    </font>
    <font>
      <b val="true"/>
      <sz val="8"/>
      <color rgb="FF17365D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8"/>
      <color rgb="FF7F6000"/>
      <name val="Arial"/>
      <family val="0"/>
      <charset val="1"/>
    </font>
    <font>
      <i val="true"/>
      <sz val="8"/>
      <color rgb="FF404040"/>
      <name val="Arial"/>
      <family val="0"/>
      <charset val="1"/>
    </font>
    <font>
      <sz val="8"/>
      <name val="Arial"/>
      <family val="0"/>
      <charset val="1"/>
    </font>
    <font>
      <b val="true"/>
      <sz val="9"/>
      <color rgb="FF7F6000"/>
      <name val="Arial"/>
      <family val="0"/>
      <charset val="1"/>
    </font>
    <font>
      <b val="true"/>
      <sz val="9"/>
      <color rgb="FFC00000"/>
      <name val="Arial"/>
      <family val="0"/>
      <charset val="1"/>
    </font>
    <font>
      <u val="single"/>
      <sz val="8"/>
      <color rgb="FF0563C1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7365D"/>
        <bgColor rgb="FF404040"/>
      </patternFill>
    </fill>
    <fill>
      <patternFill patternType="solid">
        <fgColor rgb="FF2F5597"/>
        <bgColor rgb="FF0F6B78"/>
      </patternFill>
    </fill>
    <fill>
      <patternFill patternType="solid">
        <fgColor rgb="FFEEF4F8"/>
        <bgColor rgb="FFE2F0D9"/>
      </patternFill>
    </fill>
    <fill>
      <patternFill patternType="solid">
        <fgColor rgb="FFE2F0D9"/>
        <bgColor rgb="FFD9EAF7"/>
      </patternFill>
    </fill>
    <fill>
      <patternFill patternType="solid">
        <fgColor rgb="FF0F6B78"/>
        <bgColor rgb="FF008080"/>
      </patternFill>
    </fill>
    <fill>
      <patternFill patternType="solid">
        <fgColor rgb="FFD9EAF7"/>
        <bgColor rgb="FFE2F0D9"/>
      </patternFill>
    </fill>
    <fill>
      <patternFill patternType="solid">
        <fgColor rgb="FFFFF2CC"/>
        <bgColor rgb="FFE2F0D9"/>
      </patternFill>
    </fill>
    <fill>
      <patternFill patternType="solid">
        <fgColor rgb="FFFFFFFF"/>
        <bgColor rgb="FFEEF4F8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/>
      <top style="medium">
        <color rgb="FF17365D"/>
      </top>
      <bottom style="medium">
        <color rgb="FF17365D"/>
      </bottom>
      <diagonal/>
    </border>
    <border diagonalUp="false" diagonalDown="false">
      <left/>
      <right/>
      <top style="medium">
        <color rgb="FF17365D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6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1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6" fillId="7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7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15" fillId="8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5" fillId="8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7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7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8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8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9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2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2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0" fillId="8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0" fillId="8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20" fillId="8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20" fillId="8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21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2" fillId="8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2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true"/>
      <protection locked="true" hidden="false"/>
    </xf>
    <xf numFmtId="164" fontId="18" fillId="8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2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>
          <bgColor rgb="FFFFF2CC"/>
        </patternFill>
      </fill>
    </dxf>
    <dxf>
      <fill>
        <patternFill patternType="solid">
          <fgColor rgb="FF2F559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2F0D9"/>
          <bgColor rgb="FF000000"/>
        </patternFill>
      </fill>
    </dxf>
    <dxf>
      <fill>
        <patternFill patternType="solid">
          <fgColor rgb="FF0563C1"/>
          <bgColor rgb="FF000000"/>
        </patternFill>
      </fill>
    </dxf>
    <dxf>
      <fill>
        <patternFill>
          <bgColor rgb="FFE2F0D9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F6B78"/>
      <rgbColor rgb="FFC0C0C0"/>
      <rgbColor rgb="FF808080"/>
      <rgbColor rgb="FF9999FF"/>
      <rgbColor rgb="FF993366"/>
      <rgbColor rgb="FFFFF2CC"/>
      <rgbColor rgb="FFD9EA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4F8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9000"/>
      <rgbColor rgb="FFFF6600"/>
      <rgbColor rgb="FF666699"/>
      <rgbColor rgb="FFA6A6A6"/>
      <rgbColor rgb="FF17365D"/>
      <rgbColor rgb="FF548235"/>
      <rgbColor rgb="FF003300"/>
      <rgbColor rgb="FF333300"/>
      <rgbColor rgb="FF993300"/>
      <rgbColor rgb="FF993366"/>
      <rgbColor rgb="FF2F5597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arialstroy.ru/prajs-list/prajs-list-na-monolitnye-raboty/" TargetMode="External"/><Relationship Id="rId2" Type="http://schemas.openxmlformats.org/officeDocument/2006/relationships/hyperlink" Target="https://www.merezh.ru/kladochnye-raboty" TargetMode="External"/><Relationship Id="rId3" Type="http://schemas.openxmlformats.org/officeDocument/2006/relationships/hyperlink" Target="https://roof.ru/prices/montazh_krovli/montazh_pvkh_krovli/" TargetMode="External"/><Relationship Id="rId4" Type="http://schemas.openxmlformats.org/officeDocument/2006/relationships/hyperlink" Target="https://i-okna.ru/uslugi/price-list-na-uslugi" TargetMode="External"/><Relationship Id="rId5" Type="http://schemas.openxmlformats.org/officeDocument/2006/relationships/hyperlink" Target="https://2fasad.ru/price/" TargetMode="External"/><Relationship Id="rId6" Type="http://schemas.openxmlformats.org/officeDocument/2006/relationships/hyperlink" Target="https://beton50.com/ceny/" TargetMode="External"/><Relationship Id="rId7" Type="http://schemas.openxmlformats.org/officeDocument/2006/relationships/hyperlink" Target="https://www.szmetal.ru/how_to_buy/price_list/&#1055;&#1088;&#1072;&#1081;&#1089;-&#1083;&#1080;&#1089;&#1090;%20&#1076;&#1083;&#1103;%20&#1089;&#1072;&#1081;&#1090;&#1072;%20PDF.pdf" TargetMode="External"/><Relationship Id="rId8" Type="http://schemas.openxmlformats.org/officeDocument/2006/relationships/hyperlink" Target="https://technogrunt.ru/nerudnye-materialy/" TargetMode="External"/><Relationship Id="rId9" Type="http://schemas.openxmlformats.org/officeDocument/2006/relationships/hyperlink" Target="https://scg-msk.ru/" TargetMode="External"/><Relationship Id="rId10" Type="http://schemas.openxmlformats.org/officeDocument/2006/relationships/hyperlink" Target="https://u-brus.ru/pilomaterial/brus-obreznoj-100x200x6000-cena/" TargetMode="External"/><Relationship Id="rId11" Type="http://schemas.openxmlformats.org/officeDocument/2006/relationships/hyperlink" Target="https://moscow.petrovich.ru/catalog/9576110/pvh-membrany-logicroof/" TargetMode="External"/><Relationship Id="rId12" Type="http://schemas.openxmlformats.org/officeDocument/2006/relationships/hyperlink" Target="https://www.braas.ru/czeny/" TargetMode="External"/><Relationship Id="rId13" Type="http://schemas.openxmlformats.org/officeDocument/2006/relationships/hyperlink" Target="https://metallprofil.ru/shop/catalog/krovlya/vodostochnye-sistemy/foramina/" TargetMode="External"/><Relationship Id="rId14" Type="http://schemas.openxmlformats.org/officeDocument/2006/relationships/hyperlink" Target="https://www.melke.ru/okna/evolution/" TargetMode="External"/><Relationship Id="rId15" Type="http://schemas.openxmlformats.org/officeDocument/2006/relationships/hyperlink" Target="https://mir-doors.ru/catalog/dveri-s-termorazryvom/s-termorazryvom-dvukhstvorchatye/" TargetMode="External"/><Relationship Id="rId16" Type="http://schemas.openxmlformats.org/officeDocument/2006/relationships/hyperlink" Target="https://volmatech.ru/catalog/shtukaturka/cementnaya/smes-sukhaya-tsementnaya-shtukaturnaya-volma-tsokol-25-kg_e/" TargetMode="External"/><Relationship Id="rId17" Type="http://schemas.openxmlformats.org/officeDocument/2006/relationships/hyperlink" Target="https://ooombeton.ru/" TargetMode="External"/><Relationship Id="rId18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65D"/>
    <pageSetUpPr fitToPage="true"/>
  </sheetPr>
  <dimension ref="A1:J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2" min="2" style="1" width="14"/>
    <col collapsed="false" customWidth="true" hidden="false" outlineLevel="0" max="3" min="3" style="1" width="15"/>
    <col collapsed="false" customWidth="true" hidden="false" outlineLevel="0" max="4" min="4" style="1" width="17"/>
    <col collapsed="false" customWidth="true" hidden="false" outlineLevel="0" max="6" min="5" style="1" width="13"/>
    <col collapsed="false" customWidth="true" hidden="false" outlineLevel="0" max="7" min="7" style="1" width="15"/>
    <col collapsed="false" customWidth="true" hidden="false" outlineLevel="0" max="9" min="8" style="1" width="16"/>
    <col collapsed="false" customWidth="true" hidden="false" outlineLevel="0" max="10" min="10" style="1" width="8"/>
  </cols>
  <sheetData>
    <row r="1" customFormat="false" ht="25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1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5" customFormat="false" ht="48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</row>
    <row r="6" customFormat="false" ht="15" hidden="false" customHeight="true" outlineLevel="0" collapsed="false">
      <c r="A6" s="6" t="s">
        <v>13</v>
      </c>
      <c r="B6" s="7" t="n">
        <f aca="false">ROUND(SUMIFS(Смета!$J$7:$J$291,Смета!$A$7:$A$291,1,Смета!$S$7:$S$291,"УЧТЕНО"),2)</f>
        <v>1541081.61</v>
      </c>
      <c r="C6" s="7" t="n">
        <f aca="false">ROUND(SUMIFS(Смета!$K$7:$K$291,Смета!$A$7:$A$291,1,Смета!$S$7:$S$291,"УЧТЕНО"),2)</f>
        <v>462324.53</v>
      </c>
      <c r="D6" s="7" t="n">
        <f aca="false">ROUND(SUMIFS(Смета!$M$7:$M$291,Смета!$A$7:$A$291,1,Смета!$S$7:$S$291,"УЧТЕНО"),2)</f>
        <v>1971397.1</v>
      </c>
      <c r="E6" s="7" t="n">
        <f aca="false">ROUND(SUMIFS(Смета!$O$7:$O$291,Смета!$A$7:$A$291,1,Смета!$S$7:$S$291,"УЧТЕНО"),2)</f>
        <v>197280</v>
      </c>
      <c r="F6" s="7" t="n">
        <f aca="false">ROUND(SUMIFS(Смета!$Q$7:$Q$291,Смета!$A$7:$A$291,1,Смета!$S$7:$S$291,"УЧТЕНО"),2)</f>
        <v>302030.4</v>
      </c>
      <c r="G6" s="7" t="n">
        <f aca="false">ROUND(SUMIFS(Смета!$T$7:$T$291,Смета!$A$7:$A$291,1,Смета!$S$7:$S$291,"УЧТЕНО"),2)</f>
        <v>4474113.64</v>
      </c>
      <c r="H6" s="7" t="n">
        <f aca="false">ROUND(SUMIFS(Смета!$R$7:$R$291,Смета!$A$7:$A$291,1,Смета!$S$7:$S$291,"НЕ УЧТЕНО"),2)</f>
        <v>87073.8</v>
      </c>
      <c r="I6" s="7" t="n">
        <f aca="false">ROUND(G6+H6,2)</f>
        <v>4561187.44</v>
      </c>
      <c r="J6" s="8" t="n">
        <f aca="false">IFERROR(G6/$G$12,0)</f>
        <v>0.14978892048115</v>
      </c>
    </row>
    <row r="7" customFormat="false" ht="21.75" hidden="false" customHeight="true" outlineLevel="0" collapsed="false">
      <c r="A7" s="9" t="s">
        <v>14</v>
      </c>
      <c r="B7" s="10" t="n">
        <f aca="false">ROUND(SUMIFS(Смета!$J$7:$J$291,Смета!$A$7:$A$291,2,Смета!$S$7:$S$291,"УЧТЕНО"),2)</f>
        <v>2305021.17</v>
      </c>
      <c r="C7" s="10" t="n">
        <f aca="false">ROUND(SUMIFS(Смета!$K$7:$K$291,Смета!$A$7:$A$291,2,Смета!$S$7:$S$291,"УЧТЕНО"),2)</f>
        <v>691506.35</v>
      </c>
      <c r="D7" s="10" t="n">
        <f aca="false">ROUND(SUMIFS(Смета!$M$7:$M$291,Смета!$A$7:$A$291,2,Смета!$S$7:$S$291,"УЧТЕНО"),2)</f>
        <v>9745861.57</v>
      </c>
      <c r="E7" s="10" t="n">
        <f aca="false">ROUND(SUMIFS(Смета!$O$7:$O$291,Смета!$A$7:$A$291,2,Смета!$S$7:$S$291,"УЧТЕНО"),2)</f>
        <v>108360</v>
      </c>
      <c r="F7" s="10" t="n">
        <f aca="false">ROUND(SUMIFS(Смета!$Q$7:$Q$291,Смета!$A$7:$A$291,2,Смета!$S$7:$S$291,"УЧТЕНО"),2)</f>
        <v>758868</v>
      </c>
      <c r="G7" s="10" t="n">
        <f aca="false">ROUND(SUMIFS(Смета!$T$7:$T$291,Смета!$A$7:$A$291,2,Смета!$S$7:$S$291,"УЧТЕНО"),2)</f>
        <v>13609617.09</v>
      </c>
      <c r="H7" s="10" t="n">
        <f aca="false">ROUND(SUMIFS(Смета!$R$7:$R$291,Смета!$A$7:$A$291,2,Смета!$S$7:$S$291,"НЕ УЧТЕНО"),2)</f>
        <v>0</v>
      </c>
      <c r="I7" s="10" t="n">
        <f aca="false">ROUND(G7+H7,2)</f>
        <v>13609617.09</v>
      </c>
      <c r="J7" s="11" t="n">
        <f aca="false">IFERROR(G7/$G$12,0)</f>
        <v>0.455636583265889</v>
      </c>
    </row>
    <row r="8" customFormat="false" ht="15" hidden="false" customHeight="true" outlineLevel="0" collapsed="false">
      <c r="A8" s="6" t="s">
        <v>15</v>
      </c>
      <c r="B8" s="7" t="n">
        <f aca="false">ROUND(SUMIFS(Смета!$J$7:$J$291,Смета!$A$7:$A$291,3,Смета!$S$7:$S$291,"УЧТЕНО"),2)</f>
        <v>2084440.29</v>
      </c>
      <c r="C8" s="7" t="n">
        <f aca="false">ROUND(SUMIFS(Смета!$K$7:$K$291,Смета!$A$7:$A$291,3,Смета!$S$7:$S$291,"УЧТЕНО"),2)</f>
        <v>625332.09</v>
      </c>
      <c r="D8" s="7" t="n">
        <f aca="false">ROUND(SUMIFS(Смета!$M$7:$M$291,Смета!$A$7:$A$291,3,Смета!$S$7:$S$291,"УЧТЕНО"),2)</f>
        <v>4800328.57</v>
      </c>
      <c r="E8" s="7" t="n">
        <f aca="false">ROUND(SUMIFS(Смета!$O$7:$O$291,Смета!$A$7:$A$291,3,Смета!$S$7:$S$291,"УЧТЕНО"),2)</f>
        <v>0</v>
      </c>
      <c r="F8" s="7" t="n">
        <f aca="false">ROUND(SUMIFS(Смета!$Q$7:$Q$291,Смета!$A$7:$A$291,3,Смета!$S$7:$S$291,"УЧТЕНО"),2)</f>
        <v>144000</v>
      </c>
      <c r="G8" s="7" t="n">
        <f aca="false">ROUND(SUMIFS(Смета!$T$7:$T$291,Смета!$A$7:$A$291,3,Смета!$S$7:$S$291,"УЧТЕНО"),2)</f>
        <v>7654100.95</v>
      </c>
      <c r="H8" s="7" t="n">
        <f aca="false">ROUND(SUMIFS(Смета!$R$7:$R$291,Смета!$A$7:$A$291,3,Смета!$S$7:$S$291,"НЕ УЧТЕНО"),2)</f>
        <v>0</v>
      </c>
      <c r="I8" s="7" t="n">
        <f aca="false">ROUND(G8+H8,2)</f>
        <v>7654100.95</v>
      </c>
      <c r="J8" s="8" t="n">
        <f aca="false">IFERROR(G8/$G$12,0)</f>
        <v>0.256251765333847</v>
      </c>
    </row>
    <row r="9" customFormat="false" ht="15" hidden="false" customHeight="true" outlineLevel="0" collapsed="false">
      <c r="A9" s="9" t="s">
        <v>16</v>
      </c>
      <c r="B9" s="10" t="n">
        <f aca="false">ROUND(SUMIFS(Смета!$J$7:$J$291,Смета!$A$7:$A$291,4,Смета!$S$7:$S$291,"УЧТЕНО"),2)</f>
        <v>314764.04</v>
      </c>
      <c r="C9" s="10" t="n">
        <f aca="false">ROUND(SUMIFS(Смета!$K$7:$K$291,Смета!$A$7:$A$291,4,Смета!$S$7:$S$291,"УЧТЕНО"),2)</f>
        <v>94429.21</v>
      </c>
      <c r="D9" s="10" t="n">
        <f aca="false">ROUND(SUMIFS(Смета!$M$7:$M$291,Смета!$A$7:$A$291,4,Смета!$S$7:$S$291,"УЧТЕНО"),2)</f>
        <v>2564962.25</v>
      </c>
      <c r="E9" s="10" t="n">
        <f aca="false">ROUND(SUMIFS(Смета!$O$7:$O$291,Смета!$A$7:$A$291,4,Смета!$S$7:$S$291,"УЧТЕНО"),2)</f>
        <v>0</v>
      </c>
      <c r="F9" s="10" t="n">
        <f aca="false">ROUND(SUMIFS(Смета!$Q$7:$Q$291,Смета!$A$7:$A$291,4,Смета!$S$7:$S$291,"УЧТЕНО"),2)</f>
        <v>41280</v>
      </c>
      <c r="G9" s="10" t="n">
        <f aca="false">ROUND(SUMIFS(Смета!$T$7:$T$291,Смета!$A$7:$A$291,4,Смета!$S$7:$S$291,"УЧТЕНО"),2)</f>
        <v>3015435.5</v>
      </c>
      <c r="H9" s="10" t="n">
        <f aca="false">ROUND(SUMIFS(Смета!$R$7:$R$291,Смета!$A$7:$A$291,4,Смета!$S$7:$S$291,"НЕ УЧТЕНО"),2)</f>
        <v>0</v>
      </c>
      <c r="I9" s="10" t="n">
        <f aca="false">ROUND(G9+H9,2)</f>
        <v>3015435.5</v>
      </c>
      <c r="J9" s="11" t="n">
        <f aca="false">IFERROR(G9/$G$12,0)</f>
        <v>0.100953812233866</v>
      </c>
    </row>
    <row r="10" customFormat="false" ht="15" hidden="false" customHeight="true" outlineLevel="0" collapsed="false">
      <c r="A10" s="6" t="s">
        <v>17</v>
      </c>
      <c r="B10" s="7" t="n">
        <f aca="false">ROUND(SUMIFS(Смета!$J$7:$J$291,Смета!$A$7:$A$291,5,Смета!$S$7:$S$291,"УЧТЕНО"),2)</f>
        <v>217126.3</v>
      </c>
      <c r="C10" s="7" t="n">
        <f aca="false">ROUND(SUMIFS(Смета!$K$7:$K$291,Смета!$A$7:$A$291,5,Смета!$S$7:$S$291,"УЧТЕНО"),2)</f>
        <v>65137.89</v>
      </c>
      <c r="D10" s="7" t="n">
        <f aca="false">ROUND(SUMIFS(Смета!$M$7:$M$291,Смета!$A$7:$A$291,5,Смета!$S$7:$S$291,"УЧТЕНО"),2)</f>
        <v>785925.1</v>
      </c>
      <c r="E10" s="7" t="n">
        <f aca="false">ROUND(SUMIFS(Смета!$O$7:$O$291,Смета!$A$7:$A$291,5,Смета!$S$7:$S$291,"УЧТЕНО"),2)</f>
        <v>0</v>
      </c>
      <c r="F10" s="7" t="n">
        <f aca="false">ROUND(SUMIFS(Смета!$Q$7:$Q$291,Смета!$A$7:$A$291,5,Смета!$S$7:$S$291,"УЧТЕНО"),2)</f>
        <v>48000</v>
      </c>
      <c r="G10" s="7" t="n">
        <f aca="false">ROUND(SUMIFS(Смета!$T$7:$T$291,Смета!$A$7:$A$291,5,Смета!$S$7:$S$291,"УЧТЕНО"),2)</f>
        <v>1116189.29</v>
      </c>
      <c r="H10" s="7" t="n">
        <f aca="false">ROUND(SUMIFS(Смета!$R$7:$R$291,Смета!$A$7:$A$291,5,Смета!$S$7:$S$291,"НЕ УЧТЕНО"),2)</f>
        <v>0</v>
      </c>
      <c r="I10" s="7" t="n">
        <f aca="false">ROUND(G10+H10,2)</f>
        <v>1116189.29</v>
      </c>
      <c r="J10" s="8" t="n">
        <f aca="false">IFERROR(G10/$G$12,0)</f>
        <v>0.0373689186852485</v>
      </c>
    </row>
    <row r="12" customFormat="false" ht="15" hidden="false" customHeight="true" outlineLevel="0" collapsed="false">
      <c r="A12" s="12" t="s">
        <v>18</v>
      </c>
      <c r="B12" s="13" t="n">
        <f aca="false">ROUND(SUM(B6:B10),2)</f>
        <v>6462433.41</v>
      </c>
      <c r="C12" s="13" t="n">
        <f aca="false">ROUND(SUM(C6:C10),2)</f>
        <v>1938730.07</v>
      </c>
      <c r="D12" s="13" t="n">
        <f aca="false">ROUND(SUM(D6:D10),2)</f>
        <v>19868474.59</v>
      </c>
      <c r="E12" s="13" t="n">
        <f aca="false">ROUND(SUM(E6:E10),2)</f>
        <v>305640</v>
      </c>
      <c r="F12" s="13" t="n">
        <f aca="false">ROUND(SUM(F6:F10),2)</f>
        <v>1294178.4</v>
      </c>
      <c r="G12" s="13" t="n">
        <f aca="false">ROUND(SUM(G6:G10),2)</f>
        <v>29869456.47</v>
      </c>
      <c r="H12" s="13" t="n">
        <f aca="false">ROUND(SUM(H6:H10),2)</f>
        <v>87073.8</v>
      </c>
      <c r="I12" s="13" t="n">
        <f aca="false">ROUND(SUM(I6:I10),2)</f>
        <v>29956530.27</v>
      </c>
      <c r="J12" s="14" t="n">
        <v>1</v>
      </c>
    </row>
    <row r="14" customFormat="false" ht="15" hidden="true" customHeight="true" outlineLevel="0" collapsed="false">
      <c r="A14" s="15" t="s">
        <v>19</v>
      </c>
      <c r="B14" s="15"/>
      <c r="C14" s="15"/>
      <c r="D14" s="15"/>
      <c r="E14" s="15"/>
      <c r="F14" s="15"/>
      <c r="G14" s="15"/>
      <c r="H14" s="15"/>
      <c r="I14" s="15"/>
      <c r="J14" s="15"/>
    </row>
    <row r="15" customFormat="false" ht="15" hidden="true" customHeight="true" outlineLevel="0" collapsed="false">
      <c r="A15" s="16" t="s">
        <v>20</v>
      </c>
      <c r="B15" s="17" t="n">
        <f aca="false">ROUND(G12-Смета!T294,2)</f>
        <v>0</v>
      </c>
      <c r="C15" s="18" t="str">
        <f aca="false">IF(ABS(B15)&lt;0.01,"PASS","FAIL")</f>
        <v>PASS</v>
      </c>
    </row>
    <row r="16" customFormat="false" ht="15" hidden="true" customHeight="true" outlineLevel="0" collapsed="false">
      <c r="A16" s="16" t="s">
        <v>21</v>
      </c>
      <c r="B16" s="17" t="n">
        <f aca="false">ROUND(H12-Смета!R295,2)</f>
        <v>0</v>
      </c>
      <c r="C16" s="18" t="str">
        <f aca="false">IF(ABS(B16)&lt;0.01,"PASS","FAIL")</f>
        <v>PASS</v>
      </c>
    </row>
  </sheetData>
  <mergeCells count="4">
    <mergeCell ref="A1:J1"/>
    <mergeCell ref="A2:J2"/>
    <mergeCell ref="A3:J3"/>
    <mergeCell ref="A14:J14"/>
  </mergeCells>
  <printOptions headings="false" gridLines="false" gridLinesSet="true" horizontalCentered="false" verticalCentered="false"/>
  <pageMargins left="0.2" right="0.2" top="0.35" bottom="0.3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&amp;CЗаказ 8012&amp;RСтр.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597"/>
    <pageSetUpPr fitToPage="true"/>
  </sheetPr>
  <dimension ref="A1:U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53" activeCellId="0" sqref="A153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"/>
    <col collapsed="false" customWidth="true" hidden="false" outlineLevel="0" max="3" min="3" style="0" width="8"/>
    <col collapsed="false" customWidth="true" hidden="false" outlineLevel="0" max="4" min="4" style="0" width="52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7"/>
    <col collapsed="false" customWidth="true" hidden="false" outlineLevel="0" max="8" min="8" style="0" width="10"/>
    <col collapsed="false" customWidth="true" hidden="false" outlineLevel="0" max="9" min="9" style="0" width="13"/>
    <col collapsed="false" customWidth="true" hidden="false" outlineLevel="0" max="10" min="10" style="0" width="14"/>
    <col collapsed="false" customWidth="true" hidden="false" outlineLevel="0" max="12" min="11" style="0" width="13"/>
    <col collapsed="false" customWidth="true" hidden="false" outlineLevel="0" max="13" min="13" style="0" width="14"/>
    <col collapsed="false" customWidth="true" hidden="false" outlineLevel="0" max="14" min="14" style="0" width="13"/>
    <col collapsed="false" customWidth="true" hidden="false" outlineLevel="0" max="15" min="15" style="0" width="14"/>
    <col collapsed="false" customWidth="true" hidden="false" outlineLevel="0" max="16" min="16" style="0" width="13"/>
    <col collapsed="false" customWidth="true" hidden="false" outlineLevel="0" max="17" min="17" style="0" width="14"/>
    <col collapsed="false" customWidth="true" hidden="false" outlineLevel="0" max="18" min="18" style="0" width="15"/>
    <col collapsed="false" customWidth="true" hidden="false" outlineLevel="0" max="19" min="19" style="0" width="13"/>
    <col collapsed="false" customWidth="true" hidden="false" outlineLevel="0" max="20" min="20" style="0" width="15"/>
    <col collapsed="false" customWidth="true" hidden="false" outlineLevel="0" max="21" min="21" style="0" width="39"/>
  </cols>
  <sheetData>
    <row r="1" customFormat="false" ht="27.75" hidden="false" customHeight="true" outlineLevel="0" collapsed="false">
      <c r="A1" s="19" t="s">
        <v>22</v>
      </c>
      <c r="B1" s="19"/>
      <c r="C1" s="19"/>
      <c r="D1" s="19"/>
      <c r="E1" s="19"/>
      <c r="F1" s="19"/>
      <c r="G1" s="19" t="s">
        <v>23</v>
      </c>
      <c r="H1" s="19"/>
      <c r="I1" s="19"/>
      <c r="J1" s="19"/>
      <c r="K1" s="19"/>
      <c r="L1" s="19"/>
      <c r="M1" s="19"/>
      <c r="N1" s="19" t="s">
        <v>24</v>
      </c>
      <c r="O1" s="19"/>
      <c r="P1" s="19"/>
      <c r="Q1" s="19"/>
      <c r="R1" s="19"/>
      <c r="S1" s="19"/>
      <c r="T1" s="19" t="s">
        <v>25</v>
      </c>
      <c r="U1" s="19"/>
    </row>
    <row r="2" customFormat="false" ht="21.75" hidden="false" customHeight="true" outlineLevel="0" collapsed="false">
      <c r="A2" s="20" t="s">
        <v>26</v>
      </c>
      <c r="B2" s="20"/>
      <c r="C2" s="20"/>
      <c r="D2" s="20"/>
      <c r="E2" s="20"/>
      <c r="F2" s="20"/>
      <c r="G2" s="20" t="s">
        <v>27</v>
      </c>
      <c r="H2" s="20"/>
      <c r="I2" s="20"/>
      <c r="J2" s="20"/>
      <c r="K2" s="20"/>
      <c r="L2" s="20"/>
      <c r="M2" s="20"/>
      <c r="N2" s="20" t="s">
        <v>28</v>
      </c>
      <c r="O2" s="20"/>
      <c r="P2" s="20"/>
      <c r="Q2" s="20"/>
      <c r="R2" s="20"/>
      <c r="S2" s="20"/>
      <c r="T2" s="20" t="s">
        <v>29</v>
      </c>
      <c r="U2" s="20"/>
    </row>
    <row r="3" customFormat="false" ht="19.5" hidden="false" customHeight="true" outlineLevel="0" collapsed="false">
      <c r="A3" s="21" t="s">
        <v>30</v>
      </c>
      <c r="B3" s="21"/>
      <c r="C3" s="21"/>
      <c r="D3" s="21"/>
      <c r="E3" s="21"/>
      <c r="F3" s="21"/>
      <c r="G3" s="21" t="s">
        <v>31</v>
      </c>
      <c r="H3" s="21"/>
      <c r="I3" s="21"/>
      <c r="J3" s="21"/>
      <c r="K3" s="21"/>
      <c r="L3" s="21"/>
      <c r="M3" s="21"/>
      <c r="N3" s="21" t="s">
        <v>32</v>
      </c>
      <c r="O3" s="21"/>
      <c r="P3" s="21"/>
      <c r="Q3" s="21"/>
      <c r="R3" s="21"/>
      <c r="S3" s="21"/>
      <c r="T3" s="21"/>
      <c r="U3" s="21"/>
    </row>
    <row r="4" customFormat="false" ht="48" hidden="false" customHeight="true" outlineLevel="0" collapsed="false">
      <c r="A4" s="5" t="s">
        <v>3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  <c r="M4" s="5" t="s">
        <v>44</v>
      </c>
      <c r="N4" s="5" t="s">
        <v>45</v>
      </c>
      <c r="O4" s="5" t="s">
        <v>46</v>
      </c>
      <c r="P4" s="5" t="s">
        <v>47</v>
      </c>
      <c r="Q4" s="5" t="s">
        <v>48</v>
      </c>
      <c r="R4" s="5" t="s">
        <v>49</v>
      </c>
      <c r="S4" s="5" t="s">
        <v>50</v>
      </c>
      <c r="T4" s="5" t="s">
        <v>51</v>
      </c>
      <c r="U4" s="5" t="s">
        <v>52</v>
      </c>
    </row>
    <row r="5" customFormat="false" ht="25.5" hidden="false" customHeight="true" outlineLevel="0" collapsed="false">
      <c r="A5" s="22" t="s">
        <v>13</v>
      </c>
      <c r="B5" s="22"/>
      <c r="C5" s="22"/>
      <c r="D5" s="22"/>
      <c r="E5" s="22"/>
      <c r="F5" s="22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customFormat="false" ht="42" hidden="false" customHeight="true" outlineLevel="0" collapsed="false">
      <c r="A6" s="24" t="s">
        <v>53</v>
      </c>
      <c r="B6" s="24"/>
      <c r="C6" s="24"/>
      <c r="D6" s="24"/>
      <c r="E6" s="24"/>
      <c r="F6" s="24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customFormat="false" ht="30.75" hidden="false" customHeight="true" outlineLevel="0" collapsed="false">
      <c r="A7" s="26" t="n">
        <v>1</v>
      </c>
      <c r="B7" s="26" t="s">
        <v>54</v>
      </c>
      <c r="C7" s="26" t="s">
        <v>55</v>
      </c>
      <c r="D7" s="27" t="s">
        <v>56</v>
      </c>
      <c r="E7" s="28" t="s">
        <v>57</v>
      </c>
      <c r="F7" s="26" t="s">
        <v>57</v>
      </c>
      <c r="G7" s="26" t="s">
        <v>58</v>
      </c>
      <c r="H7" s="28" t="n">
        <v>0.5</v>
      </c>
      <c r="I7" s="29" t="n">
        <v>0</v>
      </c>
      <c r="J7" s="29" t="n">
        <f aca="false">ROUND(H7*I7,2)</f>
        <v>0</v>
      </c>
      <c r="K7" s="29" t="n">
        <f aca="false">ROUND(J7*'Основания и цены'!$B$4,2)</f>
        <v>0</v>
      </c>
      <c r="L7" s="29" t="n">
        <v>0</v>
      </c>
      <c r="M7" s="29" t="n">
        <f aca="false">ROUND(H7*L7,2)</f>
        <v>0</v>
      </c>
      <c r="N7" s="29" t="n">
        <v>56160</v>
      </c>
      <c r="O7" s="29" t="n">
        <f aca="false">ROUND(H7*N7,2)</f>
        <v>28080</v>
      </c>
      <c r="P7" s="29" t="n">
        <v>0</v>
      </c>
      <c r="Q7" s="29" t="n">
        <f aca="false">ROUND(H7*P7,2)</f>
        <v>0</v>
      </c>
      <c r="R7" s="29" t="n">
        <f aca="false">ROUND(J7+K7+M7+O7+Q7,2)</f>
        <v>28080</v>
      </c>
      <c r="S7" s="26" t="s">
        <v>59</v>
      </c>
      <c r="T7" s="29" t="n">
        <f aca="false">IF(S7="УЧТЕНО",R7,0)</f>
        <v>28080</v>
      </c>
      <c r="U7" s="27" t="s">
        <v>60</v>
      </c>
    </row>
    <row r="8" customFormat="false" ht="21.75" hidden="false" customHeight="true" outlineLevel="0" collapsed="false">
      <c r="A8" s="26" t="n">
        <v>1</v>
      </c>
      <c r="B8" s="26" t="s">
        <v>54</v>
      </c>
      <c r="C8" s="26" t="s">
        <v>61</v>
      </c>
      <c r="D8" s="27" t="s">
        <v>62</v>
      </c>
      <c r="E8" s="28" t="s">
        <v>57</v>
      </c>
      <c r="F8" s="26" t="s">
        <v>57</v>
      </c>
      <c r="G8" s="26" t="s">
        <v>63</v>
      </c>
      <c r="H8" s="28" t="n">
        <v>3</v>
      </c>
      <c r="I8" s="29" t="n">
        <v>0</v>
      </c>
      <c r="J8" s="29" t="n">
        <f aca="false">ROUND(H8*I8,2)</f>
        <v>0</v>
      </c>
      <c r="K8" s="29" t="n">
        <f aca="false">ROUND(J8*'Основания и цены'!$B$4,2)</f>
        <v>0</v>
      </c>
      <c r="L8" s="29" t="n">
        <v>0</v>
      </c>
      <c r="M8" s="29" t="n">
        <f aca="false">ROUND(H8*L8,2)</f>
        <v>0</v>
      </c>
      <c r="N8" s="29" t="n">
        <v>0</v>
      </c>
      <c r="O8" s="29" t="n">
        <f aca="false">ROUND(H8*N8,2)</f>
        <v>0</v>
      </c>
      <c r="P8" s="29" t="n">
        <v>24000</v>
      </c>
      <c r="Q8" s="29" t="n">
        <f aca="false">ROUND(H8*P8,2)</f>
        <v>72000</v>
      </c>
      <c r="R8" s="29" t="n">
        <f aca="false">ROUND(J8+K8+M8+O8+Q8,2)</f>
        <v>72000</v>
      </c>
      <c r="S8" s="26" t="s">
        <v>59</v>
      </c>
      <c r="T8" s="29" t="n">
        <f aca="false">IF(S8="УЧТЕНО",R8,0)</f>
        <v>72000</v>
      </c>
      <c r="U8" s="27" t="s">
        <v>64</v>
      </c>
    </row>
    <row r="9" customFormat="false" ht="21.75" hidden="false" customHeight="true" outlineLevel="0" collapsed="false">
      <c r="A9" s="26" t="n">
        <v>1</v>
      </c>
      <c r="B9" s="26" t="s">
        <v>54</v>
      </c>
      <c r="C9" s="26" t="s">
        <v>65</v>
      </c>
      <c r="D9" s="27" t="s">
        <v>66</v>
      </c>
      <c r="E9" s="28" t="s">
        <v>57</v>
      </c>
      <c r="F9" s="26" t="s">
        <v>57</v>
      </c>
      <c r="G9" s="26" t="s">
        <v>63</v>
      </c>
      <c r="H9" s="28" t="n">
        <v>1</v>
      </c>
      <c r="I9" s="29" t="n">
        <v>0</v>
      </c>
      <c r="J9" s="29" t="n">
        <f aca="false">ROUND(H9*I9,2)</f>
        <v>0</v>
      </c>
      <c r="K9" s="29" t="n">
        <f aca="false">ROUND(J9*'Основания и цены'!$B$4,2)</f>
        <v>0</v>
      </c>
      <c r="L9" s="29" t="n">
        <v>0</v>
      </c>
      <c r="M9" s="29" t="n">
        <f aca="false">ROUND(H9*L9,2)</f>
        <v>0</v>
      </c>
      <c r="N9" s="29" t="n">
        <v>0</v>
      </c>
      <c r="O9" s="29" t="n">
        <f aca="false">ROUND(H9*N9,2)</f>
        <v>0</v>
      </c>
      <c r="P9" s="29" t="n">
        <v>24000</v>
      </c>
      <c r="Q9" s="29" t="n">
        <f aca="false">ROUND(H9*P9,2)</f>
        <v>24000</v>
      </c>
      <c r="R9" s="29" t="n">
        <f aca="false">ROUND(J9+K9+M9+O9+Q9,2)</f>
        <v>24000</v>
      </c>
      <c r="S9" s="26" t="s">
        <v>59</v>
      </c>
      <c r="T9" s="29" t="n">
        <f aca="false">IF(S9="УЧТЕНО",R9,0)</f>
        <v>24000</v>
      </c>
      <c r="U9" s="27" t="s">
        <v>67</v>
      </c>
    </row>
    <row r="10" customFormat="false" ht="30.75" hidden="false" customHeight="true" outlineLevel="0" collapsed="false">
      <c r="A10" s="26" t="n">
        <v>1</v>
      </c>
      <c r="B10" s="26" t="s">
        <v>54</v>
      </c>
      <c r="C10" s="26" t="s">
        <v>68</v>
      </c>
      <c r="D10" s="27" t="s">
        <v>69</v>
      </c>
      <c r="E10" s="28" t="s">
        <v>57</v>
      </c>
      <c r="F10" s="26" t="s">
        <v>57</v>
      </c>
      <c r="G10" s="26" t="s">
        <v>63</v>
      </c>
      <c r="H10" s="28" t="n">
        <v>2</v>
      </c>
      <c r="I10" s="29" t="n">
        <v>0</v>
      </c>
      <c r="J10" s="29" t="n">
        <f aca="false">ROUND(H10*I10,2)</f>
        <v>0</v>
      </c>
      <c r="K10" s="29" t="n">
        <f aca="false">ROUND(J10*'Основания и цены'!$B$4,2)</f>
        <v>0</v>
      </c>
      <c r="L10" s="29" t="n">
        <v>0</v>
      </c>
      <c r="M10" s="29" t="n">
        <f aca="false">ROUND(H10*L10,2)</f>
        <v>0</v>
      </c>
      <c r="N10" s="29" t="n">
        <v>0</v>
      </c>
      <c r="O10" s="29" t="n">
        <f aca="false">ROUND(H10*N10,2)</f>
        <v>0</v>
      </c>
      <c r="P10" s="29" t="n">
        <v>24000</v>
      </c>
      <c r="Q10" s="29" t="n">
        <f aca="false">ROUND(H10*P10,2)</f>
        <v>48000</v>
      </c>
      <c r="R10" s="29" t="n">
        <f aca="false">ROUND(J10+K10+M10+O10+Q10,2)</f>
        <v>48000</v>
      </c>
      <c r="S10" s="26" t="s">
        <v>59</v>
      </c>
      <c r="T10" s="29" t="n">
        <f aca="false">IF(S10="УЧТЕНО",R10,0)</f>
        <v>48000</v>
      </c>
      <c r="U10" s="27" t="s">
        <v>70</v>
      </c>
    </row>
    <row r="11" customFormat="false" ht="15" hidden="false" customHeight="true" outlineLevel="0" collapsed="false">
      <c r="A11" s="30"/>
      <c r="B11" s="30"/>
      <c r="C11" s="30"/>
      <c r="D11" s="30" t="s">
        <v>71</v>
      </c>
      <c r="E11" s="30"/>
      <c r="F11" s="30"/>
      <c r="G11" s="30"/>
      <c r="H11" s="30"/>
      <c r="I11" s="30"/>
      <c r="J11" s="31" t="n">
        <f aca="false">ROUND(SUMIF($S$7:$S$10,"УЧТЕНО",$J$7:$J$10),2)</f>
        <v>0</v>
      </c>
      <c r="K11" s="31" t="n">
        <f aca="false">ROUND(SUMIF($S$7:$S$10,"УЧТЕНО",$K$7:$K$10),2)</f>
        <v>0</v>
      </c>
      <c r="L11" s="30"/>
      <c r="M11" s="31" t="n">
        <f aca="false">ROUND(SUMIF($S$7:$S$10,"УЧТЕНО",$M$7:$M$10),2)</f>
        <v>0</v>
      </c>
      <c r="N11" s="30"/>
      <c r="O11" s="31" t="n">
        <f aca="false">ROUND(SUMIF($S$7:$S$10,"УЧТЕНО",$O$7:$O$10),2)</f>
        <v>28080</v>
      </c>
      <c r="P11" s="30"/>
      <c r="Q11" s="31" t="n">
        <f aca="false">ROUND(SUMIF($S$7:$S$10,"УЧТЕНО",$Q$7:$Q$10),2)</f>
        <v>144000</v>
      </c>
      <c r="R11" s="31" t="n">
        <f aca="false">ROUND(J11+K11+M11+O11+Q11,2)</f>
        <v>172080</v>
      </c>
      <c r="S11" s="30" t="s">
        <v>72</v>
      </c>
      <c r="T11" s="31" t="n">
        <f aca="false">R11</f>
        <v>172080</v>
      </c>
      <c r="U11" s="30"/>
    </row>
    <row r="12" customFormat="false" ht="42" hidden="false" customHeight="true" outlineLevel="0" collapsed="false">
      <c r="A12" s="24" t="s">
        <v>73</v>
      </c>
      <c r="B12" s="24"/>
      <c r="C12" s="24"/>
      <c r="D12" s="24"/>
      <c r="E12" s="24"/>
      <c r="F12" s="24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customFormat="false" ht="30.75" hidden="false" customHeight="true" outlineLevel="0" collapsed="false">
      <c r="A13" s="26" t="n">
        <v>1</v>
      </c>
      <c r="B13" s="26" t="s">
        <v>74</v>
      </c>
      <c r="C13" s="26" t="s">
        <v>75</v>
      </c>
      <c r="D13" s="27" t="s">
        <v>76</v>
      </c>
      <c r="E13" s="28" t="s">
        <v>57</v>
      </c>
      <c r="F13" s="26" t="s">
        <v>57</v>
      </c>
      <c r="G13" s="26" t="s">
        <v>58</v>
      </c>
      <c r="H13" s="28" t="n">
        <v>1</v>
      </c>
      <c r="I13" s="29" t="n">
        <v>0</v>
      </c>
      <c r="J13" s="29" t="n">
        <f aca="false">ROUND(H13*I13,2)</f>
        <v>0</v>
      </c>
      <c r="K13" s="29" t="n">
        <f aca="false">ROUND(J13*'Основания и цены'!$B$4,2)</f>
        <v>0</v>
      </c>
      <c r="L13" s="29" t="n">
        <v>0</v>
      </c>
      <c r="M13" s="29" t="n">
        <f aca="false">ROUND(H13*L13,2)</f>
        <v>0</v>
      </c>
      <c r="N13" s="29" t="n">
        <v>56160</v>
      </c>
      <c r="O13" s="29" t="n">
        <f aca="false">ROUND(H13*N13,2)</f>
        <v>56160</v>
      </c>
      <c r="P13" s="29" t="n">
        <v>0</v>
      </c>
      <c r="Q13" s="29" t="n">
        <f aca="false">ROUND(H13*P13,2)</f>
        <v>0</v>
      </c>
      <c r="R13" s="29" t="n">
        <f aca="false">ROUND(J13+K13+M13+O13+Q13,2)</f>
        <v>56160</v>
      </c>
      <c r="S13" s="26" t="s">
        <v>59</v>
      </c>
      <c r="T13" s="29" t="n">
        <f aca="false">IF(S13="УЧТЕНО",R13,0)</f>
        <v>56160</v>
      </c>
      <c r="U13" s="27" t="s">
        <v>77</v>
      </c>
    </row>
    <row r="14" customFormat="false" ht="30.75" hidden="false" customHeight="true" outlineLevel="0" collapsed="false">
      <c r="A14" s="26" t="n">
        <v>1</v>
      </c>
      <c r="B14" s="26" t="s">
        <v>74</v>
      </c>
      <c r="C14" s="26" t="s">
        <v>78</v>
      </c>
      <c r="D14" s="27" t="s">
        <v>79</v>
      </c>
      <c r="E14" s="28" t="s">
        <v>57</v>
      </c>
      <c r="F14" s="26" t="s">
        <v>57</v>
      </c>
      <c r="G14" s="26" t="s">
        <v>80</v>
      </c>
      <c r="H14" s="28" t="n">
        <v>400.91</v>
      </c>
      <c r="I14" s="29" t="n">
        <v>212.3</v>
      </c>
      <c r="J14" s="29" t="n">
        <f aca="false">ROUND(H14*I14,2)</f>
        <v>85113.19</v>
      </c>
      <c r="K14" s="29" t="n">
        <f aca="false">ROUND(J14*'Основания и цены'!$B$4,2)</f>
        <v>25533.96</v>
      </c>
      <c r="L14" s="29" t="n">
        <v>0</v>
      </c>
      <c r="M14" s="29" t="n">
        <f aca="false">ROUND(H14*L14,2)</f>
        <v>0</v>
      </c>
      <c r="N14" s="29" t="n">
        <v>0</v>
      </c>
      <c r="O14" s="29" t="n">
        <f aca="false">ROUND(H14*N14,2)</f>
        <v>0</v>
      </c>
      <c r="P14" s="29" t="n">
        <v>0</v>
      </c>
      <c r="Q14" s="29" t="n">
        <f aca="false">ROUND(H14*P14,2)</f>
        <v>0</v>
      </c>
      <c r="R14" s="29" t="n">
        <f aca="false">ROUND(J14+K14+M14+O14+Q14,2)</f>
        <v>110647.15</v>
      </c>
      <c r="S14" s="26" t="s">
        <v>59</v>
      </c>
      <c r="T14" s="29" t="n">
        <f aca="false">IF(S14="УЧТЕНО",R14,0)</f>
        <v>110647.15</v>
      </c>
      <c r="U14" s="27" t="s">
        <v>81</v>
      </c>
    </row>
    <row r="15" customFormat="false" ht="21.75" hidden="false" customHeight="true" outlineLevel="0" collapsed="false">
      <c r="A15" s="26" t="n">
        <v>1</v>
      </c>
      <c r="B15" s="26" t="s">
        <v>74</v>
      </c>
      <c r="C15" s="26" t="s">
        <v>82</v>
      </c>
      <c r="D15" s="27" t="s">
        <v>83</v>
      </c>
      <c r="E15" s="28" t="s">
        <v>57</v>
      </c>
      <c r="F15" s="26" t="s">
        <v>57</v>
      </c>
      <c r="G15" s="26" t="s">
        <v>80</v>
      </c>
      <c r="H15" s="28" t="n">
        <v>357.3</v>
      </c>
      <c r="I15" s="29" t="n">
        <v>101.54</v>
      </c>
      <c r="J15" s="29" t="n">
        <f aca="false">ROUND(H15*I15,2)</f>
        <v>36280.24</v>
      </c>
      <c r="K15" s="29" t="n">
        <f aca="false">ROUND(J15*'Основания и цены'!$B$4,2)</f>
        <v>10884.07</v>
      </c>
      <c r="L15" s="29" t="n">
        <v>0</v>
      </c>
      <c r="M15" s="29" t="n">
        <f aca="false">ROUND(H15*L15,2)</f>
        <v>0</v>
      </c>
      <c r="N15" s="29" t="n">
        <v>0</v>
      </c>
      <c r="O15" s="29" t="n">
        <f aca="false">ROUND(H15*N15,2)</f>
        <v>0</v>
      </c>
      <c r="P15" s="29" t="n">
        <v>0</v>
      </c>
      <c r="Q15" s="29" t="n">
        <f aca="false">ROUND(H15*P15,2)</f>
        <v>0</v>
      </c>
      <c r="R15" s="29" t="n">
        <f aca="false">ROUND(J15+K15+M15+O15+Q15,2)</f>
        <v>47164.31</v>
      </c>
      <c r="S15" s="26" t="s">
        <v>59</v>
      </c>
      <c r="T15" s="29" t="n">
        <f aca="false">IF(S15="УЧТЕНО",R15,0)</f>
        <v>47164.31</v>
      </c>
      <c r="U15" s="27" t="s">
        <v>84</v>
      </c>
    </row>
    <row r="16" customFormat="false" ht="21.75" hidden="false" customHeight="true" outlineLevel="0" collapsed="false">
      <c r="A16" s="26" t="n">
        <v>1</v>
      </c>
      <c r="B16" s="26" t="s">
        <v>74</v>
      </c>
      <c r="C16" s="26" t="s">
        <v>85</v>
      </c>
      <c r="D16" s="27" t="s">
        <v>86</v>
      </c>
      <c r="E16" s="28" t="n">
        <v>31.5</v>
      </c>
      <c r="F16" s="26" t="s">
        <v>87</v>
      </c>
      <c r="G16" s="26" t="s">
        <v>87</v>
      </c>
      <c r="H16" s="28" t="n">
        <v>31.5</v>
      </c>
      <c r="I16" s="29" t="n">
        <v>3692.3</v>
      </c>
      <c r="J16" s="29" t="n">
        <f aca="false">ROUND(H16*I16,2)</f>
        <v>116307.45</v>
      </c>
      <c r="K16" s="29" t="n">
        <f aca="false">ROUND(J16*'Основания и цены'!$B$4,2)</f>
        <v>34892.24</v>
      </c>
      <c r="L16" s="29" t="n">
        <v>0</v>
      </c>
      <c r="M16" s="29" t="n">
        <f aca="false">ROUND(H16*L16,2)</f>
        <v>0</v>
      </c>
      <c r="N16" s="29" t="n">
        <v>0</v>
      </c>
      <c r="O16" s="29" t="n">
        <f aca="false">ROUND(H16*N16,2)</f>
        <v>0</v>
      </c>
      <c r="P16" s="29" t="n">
        <v>0</v>
      </c>
      <c r="Q16" s="29" t="n">
        <f aca="false">ROUND(H16*P16,2)</f>
        <v>0</v>
      </c>
      <c r="R16" s="29" t="n">
        <f aca="false">ROUND(J16+K16+M16+O16+Q16,2)</f>
        <v>151199.69</v>
      </c>
      <c r="S16" s="26" t="s">
        <v>59</v>
      </c>
      <c r="T16" s="29" t="n">
        <f aca="false">IF(S16="УЧТЕНО",R16,0)</f>
        <v>151199.69</v>
      </c>
      <c r="U16" s="27" t="s">
        <v>88</v>
      </c>
    </row>
    <row r="17" customFormat="false" ht="21.75" hidden="false" customHeight="true" outlineLevel="0" collapsed="false">
      <c r="A17" s="26" t="n">
        <v>1</v>
      </c>
      <c r="B17" s="26" t="s">
        <v>74</v>
      </c>
      <c r="C17" s="26" t="s">
        <v>89</v>
      </c>
      <c r="D17" s="27" t="s">
        <v>90</v>
      </c>
      <c r="E17" s="28" t="n">
        <v>4.5</v>
      </c>
      <c r="F17" s="26" t="s">
        <v>87</v>
      </c>
      <c r="G17" s="26" t="s">
        <v>87</v>
      </c>
      <c r="H17" s="28" t="n">
        <v>4.5</v>
      </c>
      <c r="I17" s="29" t="n">
        <v>3692.3</v>
      </c>
      <c r="J17" s="29" t="n">
        <f aca="false">ROUND(H17*I17,2)</f>
        <v>16615.35</v>
      </c>
      <c r="K17" s="29" t="n">
        <f aca="false">ROUND(J17*'Основания и цены'!$B$4,2)</f>
        <v>4984.61</v>
      </c>
      <c r="L17" s="29" t="n">
        <v>0</v>
      </c>
      <c r="M17" s="29" t="n">
        <f aca="false">ROUND(H17*L17,2)</f>
        <v>0</v>
      </c>
      <c r="N17" s="29" t="n">
        <v>0</v>
      </c>
      <c r="O17" s="29" t="n">
        <f aca="false">ROUND(H17*N17,2)</f>
        <v>0</v>
      </c>
      <c r="P17" s="29" t="n">
        <v>0</v>
      </c>
      <c r="Q17" s="29" t="n">
        <f aca="false">ROUND(H17*P17,2)</f>
        <v>0</v>
      </c>
      <c r="R17" s="29" t="n">
        <f aca="false">ROUND(J17+K17+M17+O17+Q17,2)</f>
        <v>21599.96</v>
      </c>
      <c r="S17" s="26" t="s">
        <v>59</v>
      </c>
      <c r="T17" s="29" t="n">
        <f aca="false">IF(S17="УЧТЕНО",R17,0)</f>
        <v>21599.96</v>
      </c>
      <c r="U17" s="27" t="s">
        <v>91</v>
      </c>
    </row>
    <row r="18" customFormat="false" ht="21.75" hidden="false" customHeight="true" outlineLevel="0" collapsed="false">
      <c r="A18" s="26" t="n">
        <v>1</v>
      </c>
      <c r="B18" s="26" t="s">
        <v>74</v>
      </c>
      <c r="C18" s="26" t="s">
        <v>92</v>
      </c>
      <c r="D18" s="27" t="s">
        <v>93</v>
      </c>
      <c r="E18" s="28" t="n">
        <v>1.5</v>
      </c>
      <c r="F18" s="26" t="s">
        <v>87</v>
      </c>
      <c r="G18" s="26" t="s">
        <v>87</v>
      </c>
      <c r="H18" s="28" t="n">
        <v>1.5</v>
      </c>
      <c r="I18" s="29" t="n">
        <v>3692.3</v>
      </c>
      <c r="J18" s="29" t="n">
        <f aca="false">ROUND(H18*I18,2)</f>
        <v>5538.45</v>
      </c>
      <c r="K18" s="29" t="n">
        <f aca="false">ROUND(J18*'Основания и цены'!$B$4,2)</f>
        <v>1661.54</v>
      </c>
      <c r="L18" s="29" t="n">
        <v>0</v>
      </c>
      <c r="M18" s="29" t="n">
        <f aca="false">ROUND(H18*L18,2)</f>
        <v>0</v>
      </c>
      <c r="N18" s="29" t="n">
        <v>0</v>
      </c>
      <c r="O18" s="29" t="n">
        <f aca="false">ROUND(H18*N18,2)</f>
        <v>0</v>
      </c>
      <c r="P18" s="29" t="n">
        <v>0</v>
      </c>
      <c r="Q18" s="29" t="n">
        <f aca="false">ROUND(H18*P18,2)</f>
        <v>0</v>
      </c>
      <c r="R18" s="29" t="n">
        <f aca="false">ROUND(J18+K18+M18+O18+Q18,2)</f>
        <v>7199.99</v>
      </c>
      <c r="S18" s="26" t="s">
        <v>59</v>
      </c>
      <c r="T18" s="29" t="n">
        <f aca="false">IF(S18="УЧТЕНО",R18,0)</f>
        <v>7199.99</v>
      </c>
      <c r="U18" s="27" t="s">
        <v>94</v>
      </c>
    </row>
    <row r="19" customFormat="false" ht="21.75" hidden="false" customHeight="true" outlineLevel="0" collapsed="false">
      <c r="A19" s="26" t="n">
        <v>1</v>
      </c>
      <c r="B19" s="26" t="s">
        <v>74</v>
      </c>
      <c r="C19" s="26" t="s">
        <v>95</v>
      </c>
      <c r="D19" s="27" t="s">
        <v>96</v>
      </c>
      <c r="E19" s="28" t="s">
        <v>57</v>
      </c>
      <c r="F19" s="26" t="s">
        <v>57</v>
      </c>
      <c r="G19" s="26" t="s">
        <v>80</v>
      </c>
      <c r="H19" s="28" t="n">
        <v>357.3</v>
      </c>
      <c r="I19" s="29" t="n">
        <v>101.54</v>
      </c>
      <c r="J19" s="29" t="n">
        <f aca="false">ROUND(H19*I19,2)</f>
        <v>36280.24</v>
      </c>
      <c r="K19" s="29" t="n">
        <f aca="false">ROUND(J19*'Основания и цены'!$B$4,2)</f>
        <v>10884.07</v>
      </c>
      <c r="L19" s="29" t="n">
        <v>0</v>
      </c>
      <c r="M19" s="29" t="n">
        <f aca="false">ROUND(H19*L19,2)</f>
        <v>0</v>
      </c>
      <c r="N19" s="29" t="n">
        <v>0</v>
      </c>
      <c r="O19" s="29" t="n">
        <f aca="false">ROUND(H19*N19,2)</f>
        <v>0</v>
      </c>
      <c r="P19" s="29" t="n">
        <v>0</v>
      </c>
      <c r="Q19" s="29" t="n">
        <f aca="false">ROUND(H19*P19,2)</f>
        <v>0</v>
      </c>
      <c r="R19" s="29" t="n">
        <f aca="false">ROUND(J19+K19+M19+O19+Q19,2)</f>
        <v>47164.31</v>
      </c>
      <c r="S19" s="26" t="s">
        <v>59</v>
      </c>
      <c r="T19" s="29" t="n">
        <f aca="false">IF(S19="УЧТЕНО",R19,0)</f>
        <v>47164.31</v>
      </c>
      <c r="U19" s="27" t="s">
        <v>97</v>
      </c>
    </row>
    <row r="20" customFormat="false" ht="30.75" hidden="false" customHeight="true" outlineLevel="0" collapsed="false">
      <c r="A20" s="26" t="n">
        <v>1</v>
      </c>
      <c r="B20" s="26" t="s">
        <v>74</v>
      </c>
      <c r="C20" s="26" t="s">
        <v>98</v>
      </c>
      <c r="D20" s="27" t="s">
        <v>99</v>
      </c>
      <c r="E20" s="28" t="s">
        <v>57</v>
      </c>
      <c r="F20" s="26" t="s">
        <v>57</v>
      </c>
      <c r="G20" s="26" t="s">
        <v>80</v>
      </c>
      <c r="H20" s="28" t="n">
        <v>357.3</v>
      </c>
      <c r="I20" s="29" t="n">
        <v>230.77</v>
      </c>
      <c r="J20" s="29" t="n">
        <f aca="false">ROUND(H20*I20,2)</f>
        <v>82454.12</v>
      </c>
      <c r="K20" s="29" t="n">
        <f aca="false">ROUND(J20*'Основания и цены'!$B$4,2)</f>
        <v>24736.24</v>
      </c>
      <c r="L20" s="29" t="n">
        <v>0</v>
      </c>
      <c r="M20" s="29" t="n">
        <f aca="false">ROUND(H20*L20,2)</f>
        <v>0</v>
      </c>
      <c r="N20" s="29" t="n">
        <v>0</v>
      </c>
      <c r="O20" s="29" t="n">
        <f aca="false">ROUND(H20*N20,2)</f>
        <v>0</v>
      </c>
      <c r="P20" s="29" t="n">
        <v>0</v>
      </c>
      <c r="Q20" s="29" t="n">
        <f aca="false">ROUND(H20*P20,2)</f>
        <v>0</v>
      </c>
      <c r="R20" s="29" t="n">
        <f aca="false">ROUND(J20+K20+M20+O20+Q20,2)</f>
        <v>107190.36</v>
      </c>
      <c r="S20" s="26" t="s">
        <v>59</v>
      </c>
      <c r="T20" s="29" t="n">
        <f aca="false">IF(S20="УЧТЕНО",R20,0)</f>
        <v>107190.36</v>
      </c>
      <c r="U20" s="27" t="s">
        <v>100</v>
      </c>
    </row>
    <row r="21" customFormat="false" ht="21.75" hidden="false" customHeight="true" outlineLevel="0" collapsed="false">
      <c r="A21" s="26" t="n">
        <v>1</v>
      </c>
      <c r="B21" s="26" t="s">
        <v>74</v>
      </c>
      <c r="C21" s="26" t="s">
        <v>101</v>
      </c>
      <c r="D21" s="27" t="s">
        <v>102</v>
      </c>
      <c r="E21" s="28" t="n">
        <v>305</v>
      </c>
      <c r="F21" s="26" t="s">
        <v>80</v>
      </c>
      <c r="G21" s="26" t="s">
        <v>80</v>
      </c>
      <c r="H21" s="28" t="n">
        <v>305</v>
      </c>
      <c r="I21" s="29" t="n">
        <v>930.46</v>
      </c>
      <c r="J21" s="29" t="n">
        <f aca="false">ROUND(H21*I21,2)</f>
        <v>283790.3</v>
      </c>
      <c r="K21" s="29" t="n">
        <f aca="false">ROUND(J21*'Основания и цены'!$B$4,2)</f>
        <v>85137.09</v>
      </c>
      <c r="L21" s="29" t="n">
        <f aca="false">Материалы!G6</f>
        <v>142.08</v>
      </c>
      <c r="M21" s="29" t="n">
        <f aca="false">ROUND(H21*L21,2)</f>
        <v>43334.4</v>
      </c>
      <c r="N21" s="29" t="n">
        <v>0</v>
      </c>
      <c r="O21" s="29" t="n">
        <f aca="false">ROUND(H21*N21,2)</f>
        <v>0</v>
      </c>
      <c r="P21" s="29" t="n">
        <v>39.36</v>
      </c>
      <c r="Q21" s="29" t="n">
        <f aca="false">ROUND(H21*P21,2)</f>
        <v>12004.8</v>
      </c>
      <c r="R21" s="29" t="n">
        <f aca="false">ROUND(J21+K21+M21+O21+Q21,2)</f>
        <v>424266.59</v>
      </c>
      <c r="S21" s="26" t="s">
        <v>59</v>
      </c>
      <c r="T21" s="29" t="n">
        <f aca="false">IF(S21="УЧТЕНО",R21,0)</f>
        <v>424266.59</v>
      </c>
      <c r="U21" s="27" t="s">
        <v>103</v>
      </c>
    </row>
    <row r="22" customFormat="false" ht="21.75" hidden="false" customHeight="true" outlineLevel="0" collapsed="false">
      <c r="A22" s="26" t="n">
        <v>1</v>
      </c>
      <c r="B22" s="26" t="s">
        <v>74</v>
      </c>
      <c r="C22" s="26" t="s">
        <v>104</v>
      </c>
      <c r="D22" s="27" t="s">
        <v>105</v>
      </c>
      <c r="E22" s="28" t="n">
        <v>42.5</v>
      </c>
      <c r="F22" s="26" t="s">
        <v>80</v>
      </c>
      <c r="G22" s="26" t="s">
        <v>80</v>
      </c>
      <c r="H22" s="28" t="n">
        <v>42.5</v>
      </c>
      <c r="I22" s="29" t="n">
        <v>930.46</v>
      </c>
      <c r="J22" s="29" t="n">
        <f aca="false">ROUND(H22*I22,2)</f>
        <v>39544.55</v>
      </c>
      <c r="K22" s="29" t="n">
        <f aca="false">ROUND(J22*'Основания и цены'!$B$4,2)</f>
        <v>11863.37</v>
      </c>
      <c r="L22" s="29" t="n">
        <f aca="false">Материалы!G7</f>
        <v>142.08</v>
      </c>
      <c r="M22" s="29" t="n">
        <f aca="false">ROUND(H22*L22,2)</f>
        <v>6038.4</v>
      </c>
      <c r="N22" s="29" t="n">
        <v>0</v>
      </c>
      <c r="O22" s="29" t="n">
        <f aca="false">ROUND(H22*N22,2)</f>
        <v>0</v>
      </c>
      <c r="P22" s="29" t="n">
        <v>39.36</v>
      </c>
      <c r="Q22" s="29" t="n">
        <f aca="false">ROUND(H22*P22,2)</f>
        <v>1672.8</v>
      </c>
      <c r="R22" s="29" t="n">
        <f aca="false">ROUND(J22+K22+M22+O22+Q22,2)</f>
        <v>59119.12</v>
      </c>
      <c r="S22" s="26" t="s">
        <v>59</v>
      </c>
      <c r="T22" s="29" t="n">
        <f aca="false">IF(S22="УЧТЕНО",R22,0)</f>
        <v>59119.12</v>
      </c>
      <c r="U22" s="27" t="s">
        <v>106</v>
      </c>
    </row>
    <row r="23" customFormat="false" ht="21.75" hidden="false" customHeight="true" outlineLevel="0" collapsed="false">
      <c r="A23" s="26" t="n">
        <v>1</v>
      </c>
      <c r="B23" s="26" t="s">
        <v>74</v>
      </c>
      <c r="C23" s="26" t="s">
        <v>107</v>
      </c>
      <c r="D23" s="27" t="s">
        <v>108</v>
      </c>
      <c r="E23" s="28" t="n">
        <v>12.5</v>
      </c>
      <c r="F23" s="26" t="s">
        <v>80</v>
      </c>
      <c r="G23" s="26" t="s">
        <v>80</v>
      </c>
      <c r="H23" s="28" t="n">
        <v>12.5</v>
      </c>
      <c r="I23" s="29" t="n">
        <v>930.46</v>
      </c>
      <c r="J23" s="29" t="n">
        <f aca="false">ROUND(H23*I23,2)</f>
        <v>11630.75</v>
      </c>
      <c r="K23" s="29" t="n">
        <f aca="false">ROUND(J23*'Основания и цены'!$B$4,2)</f>
        <v>3489.23</v>
      </c>
      <c r="L23" s="29" t="n">
        <f aca="false">Материалы!G8</f>
        <v>142.08</v>
      </c>
      <c r="M23" s="29" t="n">
        <f aca="false">ROUND(H23*L23,2)</f>
        <v>1776</v>
      </c>
      <c r="N23" s="29" t="n">
        <v>0</v>
      </c>
      <c r="O23" s="29" t="n">
        <f aca="false">ROUND(H23*N23,2)</f>
        <v>0</v>
      </c>
      <c r="P23" s="29" t="n">
        <v>39.36</v>
      </c>
      <c r="Q23" s="29" t="n">
        <f aca="false">ROUND(H23*P23,2)</f>
        <v>492</v>
      </c>
      <c r="R23" s="29" t="n">
        <f aca="false">ROUND(J23+K23+M23+O23+Q23,2)</f>
        <v>17387.98</v>
      </c>
      <c r="S23" s="26" t="s">
        <v>59</v>
      </c>
      <c r="T23" s="29" t="n">
        <f aca="false">IF(S23="УЧТЕНО",R23,0)</f>
        <v>17387.98</v>
      </c>
      <c r="U23" s="27" t="s">
        <v>109</v>
      </c>
    </row>
    <row r="24" customFormat="false" ht="30.75" hidden="false" customHeight="true" outlineLevel="0" collapsed="false">
      <c r="A24" s="26" t="n">
        <v>1</v>
      </c>
      <c r="B24" s="26" t="s">
        <v>74</v>
      </c>
      <c r="C24" s="26" t="s">
        <v>110</v>
      </c>
      <c r="D24" s="27" t="s">
        <v>111</v>
      </c>
      <c r="E24" s="28" t="s">
        <v>57</v>
      </c>
      <c r="F24" s="26" t="s">
        <v>57</v>
      </c>
      <c r="G24" s="26" t="s">
        <v>112</v>
      </c>
      <c r="H24" s="28" t="n">
        <v>26.1</v>
      </c>
      <c r="I24" s="29" t="n">
        <v>692.3</v>
      </c>
      <c r="J24" s="29" t="n">
        <f aca="false">ROUND(H24*I24,2)</f>
        <v>18069.03</v>
      </c>
      <c r="K24" s="29" t="n">
        <f aca="false">ROUND(J24*'Основания и цены'!$B$4,2)</f>
        <v>5420.71</v>
      </c>
      <c r="L24" s="29" t="n">
        <v>0</v>
      </c>
      <c r="M24" s="29" t="n">
        <f aca="false">ROUND(H24*L24,2)</f>
        <v>0</v>
      </c>
      <c r="N24" s="29" t="n">
        <v>0</v>
      </c>
      <c r="O24" s="29" t="n">
        <f aca="false">ROUND(H24*N24,2)</f>
        <v>0</v>
      </c>
      <c r="P24" s="29" t="n">
        <v>0</v>
      </c>
      <c r="Q24" s="29" t="n">
        <f aca="false">ROUND(H24*P24,2)</f>
        <v>0</v>
      </c>
      <c r="R24" s="29" t="n">
        <f aca="false">ROUND(J24+K24+M24+O24+Q24,2)</f>
        <v>23489.74</v>
      </c>
      <c r="S24" s="26" t="s">
        <v>59</v>
      </c>
      <c r="T24" s="29" t="n">
        <f aca="false">IF(S24="УЧТЕНО",R24,0)</f>
        <v>23489.74</v>
      </c>
      <c r="U24" s="27" t="s">
        <v>113</v>
      </c>
    </row>
    <row r="25" customFormat="false" ht="21.75" hidden="false" customHeight="true" outlineLevel="0" collapsed="false">
      <c r="A25" s="26" t="n">
        <v>1</v>
      </c>
      <c r="B25" s="26" t="s">
        <v>74</v>
      </c>
      <c r="C25" s="26" t="s">
        <v>114</v>
      </c>
      <c r="D25" s="27" t="s">
        <v>115</v>
      </c>
      <c r="E25" s="28" t="n">
        <v>6.7681</v>
      </c>
      <c r="F25" s="26" t="s">
        <v>116</v>
      </c>
      <c r="G25" s="26" t="s">
        <v>116</v>
      </c>
      <c r="H25" s="28" t="n">
        <v>6.7681</v>
      </c>
      <c r="I25" s="29" t="n">
        <v>13846.15</v>
      </c>
      <c r="J25" s="29" t="n">
        <f aca="false">ROUND(H25*I25,2)</f>
        <v>93712.13</v>
      </c>
      <c r="K25" s="29" t="n">
        <f aca="false">ROUND(J25*'Основания и цены'!$B$4,2)</f>
        <v>28113.64</v>
      </c>
      <c r="L25" s="29" t="n">
        <v>0</v>
      </c>
      <c r="M25" s="29" t="n">
        <f aca="false">ROUND(H25*L25,2)</f>
        <v>0</v>
      </c>
      <c r="N25" s="29" t="n">
        <v>0</v>
      </c>
      <c r="O25" s="29" t="n">
        <f aca="false">ROUND(H25*N25,2)</f>
        <v>0</v>
      </c>
      <c r="P25" s="29" t="n">
        <v>0</v>
      </c>
      <c r="Q25" s="29" t="n">
        <f aca="false">ROUND(H25*P25,2)</f>
        <v>0</v>
      </c>
      <c r="R25" s="29" t="n">
        <f aca="false">ROUND(J25+K25+M25+O25+Q25,2)</f>
        <v>121825.77</v>
      </c>
      <c r="S25" s="26" t="s">
        <v>59</v>
      </c>
      <c r="T25" s="29" t="n">
        <f aca="false">IF(S25="УЧТЕНО",R25,0)</f>
        <v>121825.77</v>
      </c>
      <c r="U25" s="27" t="s">
        <v>117</v>
      </c>
    </row>
    <row r="26" customFormat="false" ht="21.75" hidden="false" customHeight="true" outlineLevel="0" collapsed="false">
      <c r="A26" s="26" t="n">
        <v>1</v>
      </c>
      <c r="B26" s="26" t="s">
        <v>74</v>
      </c>
      <c r="C26" s="26" t="s">
        <v>118</v>
      </c>
      <c r="D26" s="27" t="s">
        <v>119</v>
      </c>
      <c r="E26" s="28" t="n">
        <v>1.4006</v>
      </c>
      <c r="F26" s="26" t="s">
        <v>116</v>
      </c>
      <c r="G26" s="26" t="s">
        <v>116</v>
      </c>
      <c r="H26" s="28" t="n">
        <v>1.4006</v>
      </c>
      <c r="I26" s="29" t="n">
        <v>13846.15</v>
      </c>
      <c r="J26" s="29" t="n">
        <f aca="false">ROUND(H26*I26,2)</f>
        <v>19392.92</v>
      </c>
      <c r="K26" s="29" t="n">
        <f aca="false">ROUND(J26*'Основания и цены'!$B$4,2)</f>
        <v>5817.88</v>
      </c>
      <c r="L26" s="29" t="n">
        <v>0</v>
      </c>
      <c r="M26" s="29" t="n">
        <f aca="false">ROUND(H26*L26,2)</f>
        <v>0</v>
      </c>
      <c r="N26" s="29" t="n">
        <v>0</v>
      </c>
      <c r="O26" s="29" t="n">
        <f aca="false">ROUND(H26*N26,2)</f>
        <v>0</v>
      </c>
      <c r="P26" s="29" t="n">
        <v>0</v>
      </c>
      <c r="Q26" s="29" t="n">
        <f aca="false">ROUND(H26*P26,2)</f>
        <v>0</v>
      </c>
      <c r="R26" s="29" t="n">
        <f aca="false">ROUND(J26+K26+M26+O26+Q26,2)</f>
        <v>25210.8</v>
      </c>
      <c r="S26" s="26" t="s">
        <v>59</v>
      </c>
      <c r="T26" s="29" t="n">
        <f aca="false">IF(S26="УЧТЕНО",R26,0)</f>
        <v>25210.8</v>
      </c>
      <c r="U26" s="27" t="s">
        <v>120</v>
      </c>
    </row>
    <row r="27" customFormat="false" ht="21.75" hidden="false" customHeight="true" outlineLevel="0" collapsed="false">
      <c r="A27" s="26" t="n">
        <v>1</v>
      </c>
      <c r="B27" s="26" t="s">
        <v>74</v>
      </c>
      <c r="C27" s="26" t="s">
        <v>121</v>
      </c>
      <c r="D27" s="27" t="s">
        <v>122</v>
      </c>
      <c r="E27" s="28" t="n">
        <v>0.3395</v>
      </c>
      <c r="F27" s="26" t="s">
        <v>116</v>
      </c>
      <c r="G27" s="26" t="s">
        <v>116</v>
      </c>
      <c r="H27" s="28" t="n">
        <v>0.3395</v>
      </c>
      <c r="I27" s="29" t="n">
        <v>13846.15</v>
      </c>
      <c r="J27" s="29" t="n">
        <f aca="false">ROUND(H27*I27,2)</f>
        <v>4700.77</v>
      </c>
      <c r="K27" s="29" t="n">
        <f aca="false">ROUND(J27*'Основания и цены'!$B$4,2)</f>
        <v>1410.23</v>
      </c>
      <c r="L27" s="29" t="n">
        <v>0</v>
      </c>
      <c r="M27" s="29" t="n">
        <f aca="false">ROUND(H27*L27,2)</f>
        <v>0</v>
      </c>
      <c r="N27" s="29" t="n">
        <v>0</v>
      </c>
      <c r="O27" s="29" t="n">
        <f aca="false">ROUND(H27*N27,2)</f>
        <v>0</v>
      </c>
      <c r="P27" s="29" t="n">
        <v>0</v>
      </c>
      <c r="Q27" s="29" t="n">
        <f aca="false">ROUND(H27*P27,2)</f>
        <v>0</v>
      </c>
      <c r="R27" s="29" t="n">
        <f aca="false">ROUND(J27+K27+M27+O27+Q27,2)</f>
        <v>6111</v>
      </c>
      <c r="S27" s="26" t="s">
        <v>59</v>
      </c>
      <c r="T27" s="29" t="n">
        <f aca="false">IF(S27="УЧТЕНО",R27,0)</f>
        <v>6111</v>
      </c>
      <c r="U27" s="27" t="s">
        <v>123</v>
      </c>
    </row>
    <row r="28" customFormat="false" ht="30.75" hidden="false" customHeight="true" outlineLevel="0" collapsed="false">
      <c r="A28" s="26" t="n">
        <v>1</v>
      </c>
      <c r="B28" s="26" t="s">
        <v>74</v>
      </c>
      <c r="C28" s="26" t="s">
        <v>124</v>
      </c>
      <c r="D28" s="27" t="s">
        <v>125</v>
      </c>
      <c r="E28" s="28" t="n">
        <v>91.5</v>
      </c>
      <c r="F28" s="26" t="s">
        <v>87</v>
      </c>
      <c r="G28" s="26" t="s">
        <v>87</v>
      </c>
      <c r="H28" s="28" t="n">
        <v>91.5</v>
      </c>
      <c r="I28" s="29" t="n">
        <v>3230.77</v>
      </c>
      <c r="J28" s="29" t="n">
        <f aca="false">ROUND(H28*I28,2)</f>
        <v>295615.46</v>
      </c>
      <c r="K28" s="29" t="n">
        <f aca="false">ROUND(J28*'Основания и цены'!$B$4,2)</f>
        <v>88684.64</v>
      </c>
      <c r="L28" s="29" t="n">
        <v>0</v>
      </c>
      <c r="M28" s="29" t="n">
        <f aca="false">ROUND(H28*L28,2)</f>
        <v>0</v>
      </c>
      <c r="N28" s="29" t="n">
        <v>0</v>
      </c>
      <c r="O28" s="29" t="n">
        <f aca="false">ROUND(H28*N28,2)</f>
        <v>0</v>
      </c>
      <c r="P28" s="29" t="n">
        <v>0</v>
      </c>
      <c r="Q28" s="29" t="n">
        <f aca="false">ROUND(H28*P28,2)</f>
        <v>0</v>
      </c>
      <c r="R28" s="29" t="n">
        <f aca="false">ROUND(J28+K28+M28+O28+Q28,2)</f>
        <v>384300.1</v>
      </c>
      <c r="S28" s="26" t="s">
        <v>59</v>
      </c>
      <c r="T28" s="29" t="n">
        <f aca="false">IF(S28="УЧТЕНО",R28,0)</f>
        <v>384300.1</v>
      </c>
      <c r="U28" s="27" t="s">
        <v>126</v>
      </c>
    </row>
    <row r="29" customFormat="false" ht="21.75" hidden="false" customHeight="true" outlineLevel="0" collapsed="false">
      <c r="A29" s="26" t="n">
        <v>1</v>
      </c>
      <c r="B29" s="26" t="s">
        <v>74</v>
      </c>
      <c r="C29" s="26" t="s">
        <v>127</v>
      </c>
      <c r="D29" s="27" t="s">
        <v>128</v>
      </c>
      <c r="E29" s="28" t="n">
        <v>8.4</v>
      </c>
      <c r="F29" s="26" t="s">
        <v>87</v>
      </c>
      <c r="G29" s="26" t="s">
        <v>87</v>
      </c>
      <c r="H29" s="28" t="n">
        <v>8.4</v>
      </c>
      <c r="I29" s="29" t="n">
        <v>3230.77</v>
      </c>
      <c r="J29" s="29" t="n">
        <f aca="false">ROUND(H29*I29,2)</f>
        <v>27138.47</v>
      </c>
      <c r="K29" s="29" t="n">
        <f aca="false">ROUND(J29*'Основания и цены'!$B$4,2)</f>
        <v>8141.54</v>
      </c>
      <c r="L29" s="29" t="n">
        <v>0</v>
      </c>
      <c r="M29" s="29" t="n">
        <f aca="false">ROUND(H29*L29,2)</f>
        <v>0</v>
      </c>
      <c r="N29" s="29" t="n">
        <v>0</v>
      </c>
      <c r="O29" s="29" t="n">
        <f aca="false">ROUND(H29*N29,2)</f>
        <v>0</v>
      </c>
      <c r="P29" s="29" t="n">
        <v>0</v>
      </c>
      <c r="Q29" s="29" t="n">
        <f aca="false">ROUND(H29*P29,2)</f>
        <v>0</v>
      </c>
      <c r="R29" s="29" t="n">
        <f aca="false">ROUND(J29+K29+M29+O29+Q29,2)</f>
        <v>35280.01</v>
      </c>
      <c r="S29" s="26" t="s">
        <v>59</v>
      </c>
      <c r="T29" s="29" t="n">
        <f aca="false">IF(S29="УЧТЕНО",R29,0)</f>
        <v>35280.01</v>
      </c>
      <c r="U29" s="27" t="s">
        <v>129</v>
      </c>
    </row>
    <row r="30" customFormat="false" ht="21.75" hidden="false" customHeight="true" outlineLevel="0" collapsed="false">
      <c r="A30" s="26" t="n">
        <v>1</v>
      </c>
      <c r="B30" s="26" t="s">
        <v>74</v>
      </c>
      <c r="C30" s="26" t="s">
        <v>130</v>
      </c>
      <c r="D30" s="27" t="s">
        <v>131</v>
      </c>
      <c r="E30" s="28" t="n">
        <v>1.8</v>
      </c>
      <c r="F30" s="26" t="s">
        <v>87</v>
      </c>
      <c r="G30" s="26" t="s">
        <v>87</v>
      </c>
      <c r="H30" s="28" t="n">
        <v>1.8</v>
      </c>
      <c r="I30" s="29" t="n">
        <v>3230.77</v>
      </c>
      <c r="J30" s="29" t="n">
        <f aca="false">ROUND(H30*I30,2)</f>
        <v>5815.39</v>
      </c>
      <c r="K30" s="29" t="n">
        <f aca="false">ROUND(J30*'Основания и цены'!$B$4,2)</f>
        <v>1744.62</v>
      </c>
      <c r="L30" s="29" t="n">
        <v>0</v>
      </c>
      <c r="M30" s="29" t="n">
        <f aca="false">ROUND(H30*L30,2)</f>
        <v>0</v>
      </c>
      <c r="N30" s="29" t="n">
        <v>0</v>
      </c>
      <c r="O30" s="29" t="n">
        <f aca="false">ROUND(H30*N30,2)</f>
        <v>0</v>
      </c>
      <c r="P30" s="29" t="n">
        <v>0</v>
      </c>
      <c r="Q30" s="29" t="n">
        <f aca="false">ROUND(H30*P30,2)</f>
        <v>0</v>
      </c>
      <c r="R30" s="29" t="n">
        <f aca="false">ROUND(J30+K30+M30+O30+Q30,2)</f>
        <v>7560.01</v>
      </c>
      <c r="S30" s="26" t="s">
        <v>59</v>
      </c>
      <c r="T30" s="29" t="n">
        <f aca="false">IF(S30="УЧТЕНО",R30,0)</f>
        <v>7560.01</v>
      </c>
      <c r="U30" s="27" t="s">
        <v>132</v>
      </c>
    </row>
    <row r="31" customFormat="false" ht="21.75" hidden="false" customHeight="true" outlineLevel="0" collapsed="false">
      <c r="A31" s="26" t="n">
        <v>1</v>
      </c>
      <c r="B31" s="26" t="s">
        <v>74</v>
      </c>
      <c r="C31" s="26" t="s">
        <v>133</v>
      </c>
      <c r="D31" s="27" t="s">
        <v>134</v>
      </c>
      <c r="E31" s="28" t="s">
        <v>57</v>
      </c>
      <c r="F31" s="26" t="s">
        <v>57</v>
      </c>
      <c r="G31" s="26" t="s">
        <v>135</v>
      </c>
      <c r="H31" s="28" t="n">
        <v>9.6</v>
      </c>
      <c r="I31" s="29" t="n">
        <v>2769.23</v>
      </c>
      <c r="J31" s="29" t="n">
        <f aca="false">ROUND(H31*I31,2)</f>
        <v>26584.61</v>
      </c>
      <c r="K31" s="29" t="n">
        <f aca="false">ROUND(J31*'Основания и цены'!$B$4,2)</f>
        <v>7975.38</v>
      </c>
      <c r="L31" s="29" t="n">
        <v>0</v>
      </c>
      <c r="M31" s="29" t="n">
        <f aca="false">ROUND(H31*L31,2)</f>
        <v>0</v>
      </c>
      <c r="N31" s="29" t="n">
        <v>0</v>
      </c>
      <c r="O31" s="29" t="n">
        <f aca="false">ROUND(H31*N31,2)</f>
        <v>0</v>
      </c>
      <c r="P31" s="29" t="n">
        <v>0</v>
      </c>
      <c r="Q31" s="29" t="n">
        <f aca="false">ROUND(H31*P31,2)</f>
        <v>0</v>
      </c>
      <c r="R31" s="29" t="n">
        <f aca="false">ROUND(J31+K31+M31+O31+Q31,2)</f>
        <v>34559.99</v>
      </c>
      <c r="S31" s="26" t="s">
        <v>59</v>
      </c>
      <c r="T31" s="29" t="n">
        <f aca="false">IF(S31="УЧТЕНО",R31,0)</f>
        <v>34559.99</v>
      </c>
      <c r="U31" s="27" t="s">
        <v>136</v>
      </c>
    </row>
    <row r="32" customFormat="false" ht="21.75" hidden="false" customHeight="true" outlineLevel="0" collapsed="false">
      <c r="A32" s="26" t="n">
        <v>1</v>
      </c>
      <c r="B32" s="26" t="s">
        <v>74</v>
      </c>
      <c r="C32" s="26" t="s">
        <v>137</v>
      </c>
      <c r="D32" s="27" t="s">
        <v>138</v>
      </c>
      <c r="E32" s="28" t="s">
        <v>57</v>
      </c>
      <c r="F32" s="26" t="s">
        <v>57</v>
      </c>
      <c r="G32" s="26" t="s">
        <v>135</v>
      </c>
      <c r="H32" s="28" t="n">
        <v>30</v>
      </c>
      <c r="I32" s="29" t="n">
        <v>2769.23</v>
      </c>
      <c r="J32" s="29" t="n">
        <f aca="false">ROUND(H32*I32,2)</f>
        <v>83076.9</v>
      </c>
      <c r="K32" s="29" t="n">
        <f aca="false">ROUND(J32*'Основания и цены'!$B$4,2)</f>
        <v>24923.07</v>
      </c>
      <c r="L32" s="29" t="n">
        <v>0</v>
      </c>
      <c r="M32" s="29" t="n">
        <f aca="false">ROUND(H32*L32,2)</f>
        <v>0</v>
      </c>
      <c r="N32" s="29" t="n">
        <v>0</v>
      </c>
      <c r="O32" s="29" t="n">
        <f aca="false">ROUND(H32*N32,2)</f>
        <v>0</v>
      </c>
      <c r="P32" s="29" t="n">
        <v>0</v>
      </c>
      <c r="Q32" s="29" t="n">
        <f aca="false">ROUND(H32*P32,2)</f>
        <v>0</v>
      </c>
      <c r="R32" s="29" t="n">
        <f aca="false">ROUND(J32+K32+M32+O32+Q32,2)</f>
        <v>107999.97</v>
      </c>
      <c r="S32" s="26" t="s">
        <v>59</v>
      </c>
      <c r="T32" s="29" t="n">
        <f aca="false">IF(S32="УЧТЕНО",R32,0)</f>
        <v>107999.97</v>
      </c>
      <c r="U32" s="27" t="s">
        <v>139</v>
      </c>
    </row>
    <row r="33" customFormat="false" ht="21.75" hidden="false" customHeight="true" outlineLevel="0" collapsed="false">
      <c r="A33" s="26" t="n">
        <v>1</v>
      </c>
      <c r="B33" s="26" t="s">
        <v>74</v>
      </c>
      <c r="C33" s="26" t="s">
        <v>140</v>
      </c>
      <c r="D33" s="27" t="s">
        <v>141</v>
      </c>
      <c r="E33" s="28" t="s">
        <v>57</v>
      </c>
      <c r="F33" s="26" t="s">
        <v>57</v>
      </c>
      <c r="G33" s="26" t="s">
        <v>80</v>
      </c>
      <c r="H33" s="28" t="n">
        <v>32.7</v>
      </c>
      <c r="I33" s="29" t="n">
        <v>230.77</v>
      </c>
      <c r="J33" s="29" t="n">
        <f aca="false">ROUND(H33*I33,2)</f>
        <v>7546.18</v>
      </c>
      <c r="K33" s="29" t="n">
        <f aca="false">ROUND(J33*'Основания и цены'!$B$4,2)</f>
        <v>2263.85</v>
      </c>
      <c r="L33" s="29" t="n">
        <v>0</v>
      </c>
      <c r="M33" s="29" t="n">
        <f aca="false">ROUND(H33*L33,2)</f>
        <v>0</v>
      </c>
      <c r="N33" s="29" t="n">
        <v>0</v>
      </c>
      <c r="O33" s="29" t="n">
        <f aca="false">ROUND(H33*N33,2)</f>
        <v>0</v>
      </c>
      <c r="P33" s="29" t="n">
        <v>0</v>
      </c>
      <c r="Q33" s="29" t="n">
        <f aca="false">ROUND(H33*P33,2)</f>
        <v>0</v>
      </c>
      <c r="R33" s="29" t="n">
        <f aca="false">ROUND(J33+K33+M33+O33+Q33,2)</f>
        <v>9810.03</v>
      </c>
      <c r="S33" s="26" t="s">
        <v>59</v>
      </c>
      <c r="T33" s="29" t="n">
        <f aca="false">IF(S33="УЧТЕНО",R33,0)</f>
        <v>9810.03</v>
      </c>
      <c r="U33" s="27" t="s">
        <v>142</v>
      </c>
    </row>
    <row r="34" customFormat="false" ht="30.75" hidden="false" customHeight="true" outlineLevel="0" collapsed="false">
      <c r="A34" s="26" t="n">
        <v>1</v>
      </c>
      <c r="B34" s="26" t="s">
        <v>74</v>
      </c>
      <c r="C34" s="26" t="s">
        <v>143</v>
      </c>
      <c r="D34" s="27" t="s">
        <v>144</v>
      </c>
      <c r="E34" s="28" t="s">
        <v>57</v>
      </c>
      <c r="F34" s="26" t="s">
        <v>57</v>
      </c>
      <c r="G34" s="26" t="s">
        <v>80</v>
      </c>
      <c r="H34" s="28" t="n">
        <v>19.2</v>
      </c>
      <c r="I34" s="29" t="n">
        <v>581.54</v>
      </c>
      <c r="J34" s="29" t="n">
        <f aca="false">ROUND(H34*I34,2)</f>
        <v>11165.57</v>
      </c>
      <c r="K34" s="29" t="n">
        <f aca="false">ROUND(J34*'Основания и цены'!$B$4,2)</f>
        <v>3349.67</v>
      </c>
      <c r="L34" s="29" t="n">
        <v>0</v>
      </c>
      <c r="M34" s="29" t="n">
        <f aca="false">ROUND(H34*L34,2)</f>
        <v>0</v>
      </c>
      <c r="N34" s="29" t="n">
        <v>0</v>
      </c>
      <c r="O34" s="29" t="n">
        <f aca="false">ROUND(H34*N34,2)</f>
        <v>0</v>
      </c>
      <c r="P34" s="29" t="n">
        <v>0</v>
      </c>
      <c r="Q34" s="29" t="n">
        <f aca="false">ROUND(H34*P34,2)</f>
        <v>0</v>
      </c>
      <c r="R34" s="29" t="n">
        <f aca="false">ROUND(J34+K34+M34+O34+Q34,2)</f>
        <v>14515.24</v>
      </c>
      <c r="S34" s="26" t="s">
        <v>59</v>
      </c>
      <c r="T34" s="29" t="n">
        <f aca="false">IF(S34="УЧТЕНО",R34,0)</f>
        <v>14515.24</v>
      </c>
      <c r="U34" s="27" t="s">
        <v>145</v>
      </c>
    </row>
    <row r="35" customFormat="false" ht="30.75" hidden="false" customHeight="true" outlineLevel="0" collapsed="false">
      <c r="A35" s="26" t="n">
        <v>1</v>
      </c>
      <c r="B35" s="26" t="s">
        <v>74</v>
      </c>
      <c r="C35" s="26" t="s">
        <v>146</v>
      </c>
      <c r="D35" s="27" t="s">
        <v>147</v>
      </c>
      <c r="E35" s="28" t="s">
        <v>57</v>
      </c>
      <c r="F35" s="26" t="s">
        <v>57</v>
      </c>
      <c r="G35" s="26" t="s">
        <v>80</v>
      </c>
      <c r="H35" s="28" t="n">
        <v>3.64</v>
      </c>
      <c r="I35" s="29" t="n">
        <v>581.54</v>
      </c>
      <c r="J35" s="29" t="n">
        <f aca="false">ROUND(H35*I35,2)</f>
        <v>2116.81</v>
      </c>
      <c r="K35" s="29" t="n">
        <f aca="false">ROUND(J35*'Основания и цены'!$B$4,2)</f>
        <v>635.04</v>
      </c>
      <c r="L35" s="29" t="n">
        <v>0</v>
      </c>
      <c r="M35" s="29" t="n">
        <f aca="false">ROUND(H35*L35,2)</f>
        <v>0</v>
      </c>
      <c r="N35" s="29" t="n">
        <v>0</v>
      </c>
      <c r="O35" s="29" t="n">
        <f aca="false">ROUND(H35*N35,2)</f>
        <v>0</v>
      </c>
      <c r="P35" s="29" t="n">
        <v>0</v>
      </c>
      <c r="Q35" s="29" t="n">
        <f aca="false">ROUND(H35*P35,2)</f>
        <v>0</v>
      </c>
      <c r="R35" s="29" t="n">
        <f aca="false">ROUND(J35+K35+M35+O35+Q35,2)</f>
        <v>2751.85</v>
      </c>
      <c r="S35" s="26" t="s">
        <v>59</v>
      </c>
      <c r="T35" s="29" t="n">
        <f aca="false">IF(S35="УЧТЕНО",R35,0)</f>
        <v>2751.85</v>
      </c>
      <c r="U35" s="27" t="s">
        <v>148</v>
      </c>
    </row>
    <row r="36" customFormat="false" ht="30.75" hidden="false" customHeight="true" outlineLevel="0" collapsed="false">
      <c r="A36" s="26" t="n">
        <v>1</v>
      </c>
      <c r="B36" s="26" t="s">
        <v>74</v>
      </c>
      <c r="C36" s="26" t="s">
        <v>149</v>
      </c>
      <c r="D36" s="27" t="s">
        <v>150</v>
      </c>
      <c r="E36" s="28" t="s">
        <v>57</v>
      </c>
      <c r="F36" s="26" t="s">
        <v>57</v>
      </c>
      <c r="G36" s="26" t="s">
        <v>80</v>
      </c>
      <c r="H36" s="28" t="n">
        <v>0.72</v>
      </c>
      <c r="I36" s="29" t="n">
        <v>581.54</v>
      </c>
      <c r="J36" s="29" t="n">
        <f aca="false">ROUND(H36*I36,2)</f>
        <v>418.71</v>
      </c>
      <c r="K36" s="29" t="n">
        <f aca="false">ROUND(J36*'Основания и цены'!$B$4,2)</f>
        <v>125.61</v>
      </c>
      <c r="L36" s="29" t="n">
        <v>0</v>
      </c>
      <c r="M36" s="29" t="n">
        <f aca="false">ROUND(H36*L36,2)</f>
        <v>0</v>
      </c>
      <c r="N36" s="29" t="n">
        <v>0</v>
      </c>
      <c r="O36" s="29" t="n">
        <f aca="false">ROUND(H36*N36,2)</f>
        <v>0</v>
      </c>
      <c r="P36" s="29" t="n">
        <v>0</v>
      </c>
      <c r="Q36" s="29" t="n">
        <f aca="false">ROUND(H36*P36,2)</f>
        <v>0</v>
      </c>
      <c r="R36" s="29" t="n">
        <f aca="false">ROUND(J36+K36+M36+O36+Q36,2)</f>
        <v>544.32</v>
      </c>
      <c r="S36" s="26" t="s">
        <v>59</v>
      </c>
      <c r="T36" s="29" t="n">
        <f aca="false">IF(S36="УЧТЕНО",R36,0)</f>
        <v>544.32</v>
      </c>
      <c r="U36" s="27" t="s">
        <v>151</v>
      </c>
    </row>
    <row r="37" customFormat="false" ht="30.75" hidden="false" customHeight="true" outlineLevel="0" collapsed="false">
      <c r="A37" s="26" t="n">
        <v>1</v>
      </c>
      <c r="B37" s="26" t="s">
        <v>74</v>
      </c>
      <c r="C37" s="26" t="s">
        <v>152</v>
      </c>
      <c r="D37" s="27" t="s">
        <v>153</v>
      </c>
      <c r="E37" s="28" t="s">
        <v>57</v>
      </c>
      <c r="F37" s="26" t="s">
        <v>57</v>
      </c>
      <c r="G37" s="26" t="s">
        <v>112</v>
      </c>
      <c r="H37" s="28" t="n">
        <v>360</v>
      </c>
      <c r="I37" s="29" t="n">
        <v>18.46</v>
      </c>
      <c r="J37" s="29" t="n">
        <f aca="false">ROUND(H37*I37,2)</f>
        <v>6645.6</v>
      </c>
      <c r="K37" s="29" t="n">
        <f aca="false">ROUND(J37*'Основания и цены'!$B$4,2)</f>
        <v>1993.68</v>
      </c>
      <c r="L37" s="29" t="n">
        <v>0</v>
      </c>
      <c r="M37" s="29" t="n">
        <f aca="false">ROUND(H37*L37,2)</f>
        <v>0</v>
      </c>
      <c r="N37" s="29" t="n">
        <v>0</v>
      </c>
      <c r="O37" s="29" t="n">
        <f aca="false">ROUND(H37*N37,2)</f>
        <v>0</v>
      </c>
      <c r="P37" s="29" t="n">
        <v>0</v>
      </c>
      <c r="Q37" s="29" t="n">
        <f aca="false">ROUND(H37*P37,2)</f>
        <v>0</v>
      </c>
      <c r="R37" s="29" t="n">
        <f aca="false">ROUND(J37+K37+M37+O37+Q37,2)</f>
        <v>8639.28</v>
      </c>
      <c r="S37" s="26" t="s">
        <v>59</v>
      </c>
      <c r="T37" s="29" t="n">
        <f aca="false">IF(S37="УЧТЕНО",R37,0)</f>
        <v>8639.28</v>
      </c>
      <c r="U37" s="27" t="s">
        <v>154</v>
      </c>
    </row>
    <row r="38" customFormat="false" ht="30.75" hidden="false" customHeight="true" outlineLevel="0" collapsed="false">
      <c r="A38" s="26" t="n">
        <v>1</v>
      </c>
      <c r="B38" s="26" t="s">
        <v>74</v>
      </c>
      <c r="C38" s="26" t="s">
        <v>155</v>
      </c>
      <c r="D38" s="27" t="s">
        <v>156</v>
      </c>
      <c r="E38" s="28" t="s">
        <v>57</v>
      </c>
      <c r="F38" s="26" t="s">
        <v>57</v>
      </c>
      <c r="G38" s="26" t="s">
        <v>87</v>
      </c>
      <c r="H38" s="28" t="n">
        <v>0.95</v>
      </c>
      <c r="I38" s="29" t="n">
        <v>0</v>
      </c>
      <c r="J38" s="29" t="n">
        <f aca="false">ROUND(H38*I38,2)</f>
        <v>0</v>
      </c>
      <c r="K38" s="29" t="n">
        <f aca="false">ROUND(J38*'Основания и цены'!$B$4,2)</f>
        <v>0</v>
      </c>
      <c r="L38" s="29" t="n">
        <f aca="false">Материалы!G9</f>
        <v>26400</v>
      </c>
      <c r="M38" s="29" t="n">
        <f aca="false">ROUND(H38*L38,2)</f>
        <v>25080</v>
      </c>
      <c r="N38" s="29" t="n">
        <v>0</v>
      </c>
      <c r="O38" s="29" t="n">
        <f aca="false">ROUND(H38*N38,2)</f>
        <v>0</v>
      </c>
      <c r="P38" s="29" t="n">
        <v>0</v>
      </c>
      <c r="Q38" s="29" t="n">
        <f aca="false">ROUND(H38*P38,2)</f>
        <v>0</v>
      </c>
      <c r="R38" s="29" t="n">
        <f aca="false">ROUND(J38+K38+M38+O38+Q38,2)</f>
        <v>25080</v>
      </c>
      <c r="S38" s="26" t="s">
        <v>59</v>
      </c>
      <c r="T38" s="29" t="n">
        <f aca="false">IF(S38="УЧТЕНО",R38,0)</f>
        <v>25080</v>
      </c>
      <c r="U38" s="27" t="s">
        <v>157</v>
      </c>
    </row>
    <row r="39" customFormat="false" ht="21.75" hidden="false" customHeight="true" outlineLevel="0" collapsed="false">
      <c r="A39" s="26" t="n">
        <v>1</v>
      </c>
      <c r="B39" s="26" t="s">
        <v>74</v>
      </c>
      <c r="C39" s="26" t="s">
        <v>158</v>
      </c>
      <c r="D39" s="27" t="s">
        <v>159</v>
      </c>
      <c r="E39" s="28" t="n">
        <v>7.4299</v>
      </c>
      <c r="F39" s="26" t="s">
        <v>116</v>
      </c>
      <c r="G39" s="26" t="s">
        <v>116</v>
      </c>
      <c r="H39" s="28" t="n">
        <v>7.4299</v>
      </c>
      <c r="I39" s="29" t="n">
        <v>0</v>
      </c>
      <c r="J39" s="29" t="n">
        <f aca="false">ROUND(H39*I39,2)</f>
        <v>0</v>
      </c>
      <c r="K39" s="29" t="n">
        <f aca="false">ROUND(J39*'Основания и цены'!$B$4,2)</f>
        <v>0</v>
      </c>
      <c r="L39" s="29" t="n">
        <f aca="false">Материалы!G10</f>
        <v>72240</v>
      </c>
      <c r="M39" s="29" t="n">
        <f aca="false">ROUND(H39*L39,2)</f>
        <v>536735.98</v>
      </c>
      <c r="N39" s="29" t="n">
        <v>0</v>
      </c>
      <c r="O39" s="29" t="n">
        <f aca="false">ROUND(H39*N39,2)</f>
        <v>0</v>
      </c>
      <c r="P39" s="29" t="n">
        <v>0</v>
      </c>
      <c r="Q39" s="29" t="n">
        <f aca="false">ROUND(H39*P39,2)</f>
        <v>0</v>
      </c>
      <c r="R39" s="29" t="n">
        <f aca="false">ROUND(J39+K39+M39+O39+Q39,2)</f>
        <v>536735.98</v>
      </c>
      <c r="S39" s="26" t="s">
        <v>59</v>
      </c>
      <c r="T39" s="29" t="n">
        <f aca="false">IF(S39="УЧТЕНО",R39,0)</f>
        <v>536735.98</v>
      </c>
      <c r="U39" s="27" t="s">
        <v>160</v>
      </c>
    </row>
    <row r="40" customFormat="false" ht="21.75" hidden="false" customHeight="true" outlineLevel="0" collapsed="false">
      <c r="A40" s="26" t="n">
        <v>1</v>
      </c>
      <c r="B40" s="26" t="s">
        <v>74</v>
      </c>
      <c r="C40" s="26" t="s">
        <v>161</v>
      </c>
      <c r="D40" s="27" t="s">
        <v>162</v>
      </c>
      <c r="E40" s="28" t="n">
        <v>1.0116</v>
      </c>
      <c r="F40" s="26" t="s">
        <v>116</v>
      </c>
      <c r="G40" s="26" t="s">
        <v>116</v>
      </c>
      <c r="H40" s="28" t="n">
        <v>1.0116</v>
      </c>
      <c r="I40" s="29" t="n">
        <v>0</v>
      </c>
      <c r="J40" s="29" t="n">
        <f aca="false">ROUND(H40*I40,2)</f>
        <v>0</v>
      </c>
      <c r="K40" s="29" t="n">
        <f aca="false">ROUND(J40*'Основания и цены'!$B$4,2)</f>
        <v>0</v>
      </c>
      <c r="L40" s="29" t="n">
        <f aca="false">Материалы!G11</f>
        <v>73680</v>
      </c>
      <c r="M40" s="29" t="n">
        <f aca="false">ROUND(H40*L40,2)</f>
        <v>74534.69</v>
      </c>
      <c r="N40" s="29" t="n">
        <v>0</v>
      </c>
      <c r="O40" s="29" t="n">
        <f aca="false">ROUND(H40*N40,2)</f>
        <v>0</v>
      </c>
      <c r="P40" s="29" t="n">
        <v>0</v>
      </c>
      <c r="Q40" s="29" t="n">
        <f aca="false">ROUND(H40*P40,2)</f>
        <v>0</v>
      </c>
      <c r="R40" s="29" t="n">
        <f aca="false">ROUND(J40+K40+M40+O40+Q40,2)</f>
        <v>74534.69</v>
      </c>
      <c r="S40" s="26" t="s">
        <v>59</v>
      </c>
      <c r="T40" s="29" t="n">
        <f aca="false">IF(S40="УЧТЕНО",R40,0)</f>
        <v>74534.69</v>
      </c>
      <c r="U40" s="27" t="s">
        <v>163</v>
      </c>
    </row>
    <row r="41" customFormat="false" ht="21.75" hidden="false" customHeight="true" outlineLevel="0" collapsed="false">
      <c r="A41" s="26" t="n">
        <v>1</v>
      </c>
      <c r="B41" s="26" t="s">
        <v>74</v>
      </c>
      <c r="C41" s="26" t="s">
        <v>164</v>
      </c>
      <c r="D41" s="27" t="s">
        <v>165</v>
      </c>
      <c r="E41" s="28" t="n">
        <v>0.0667</v>
      </c>
      <c r="F41" s="26" t="s">
        <v>116</v>
      </c>
      <c r="G41" s="26" t="s">
        <v>116</v>
      </c>
      <c r="H41" s="28" t="n">
        <v>0.0667</v>
      </c>
      <c r="I41" s="29" t="n">
        <v>0</v>
      </c>
      <c r="J41" s="29" t="n">
        <f aca="false">ROUND(H41*I41,2)</f>
        <v>0</v>
      </c>
      <c r="K41" s="29" t="n">
        <f aca="false">ROUND(J41*'Основания и цены'!$B$4,2)</f>
        <v>0</v>
      </c>
      <c r="L41" s="29" t="n">
        <f aca="false">Материалы!G12</f>
        <v>74160</v>
      </c>
      <c r="M41" s="29" t="n">
        <f aca="false">ROUND(H41*L41,2)</f>
        <v>4946.47</v>
      </c>
      <c r="N41" s="29" t="n">
        <v>0</v>
      </c>
      <c r="O41" s="29" t="n">
        <f aca="false">ROUND(H41*N41,2)</f>
        <v>0</v>
      </c>
      <c r="P41" s="29" t="n">
        <v>0</v>
      </c>
      <c r="Q41" s="29" t="n">
        <f aca="false">ROUND(H41*P41,2)</f>
        <v>0</v>
      </c>
      <c r="R41" s="29" t="n">
        <f aca="false">ROUND(J41+K41+M41+O41+Q41,2)</f>
        <v>4946.47</v>
      </c>
      <c r="S41" s="26" t="s">
        <v>59</v>
      </c>
      <c r="T41" s="29" t="n">
        <f aca="false">IF(S41="УЧТЕНО",R41,0)</f>
        <v>4946.47</v>
      </c>
      <c r="U41" s="27" t="s">
        <v>166</v>
      </c>
    </row>
    <row r="42" customFormat="false" ht="21.75" hidden="false" customHeight="true" outlineLevel="0" collapsed="false">
      <c r="A42" s="26" t="n">
        <v>1</v>
      </c>
      <c r="B42" s="26" t="s">
        <v>74</v>
      </c>
      <c r="C42" s="26" t="s">
        <v>167</v>
      </c>
      <c r="D42" s="27" t="s">
        <v>168</v>
      </c>
      <c r="E42" s="28" t="n">
        <v>101.7</v>
      </c>
      <c r="F42" s="26" t="s">
        <v>87</v>
      </c>
      <c r="G42" s="26" t="s">
        <v>87</v>
      </c>
      <c r="H42" s="28" t="n">
        <v>101.7</v>
      </c>
      <c r="I42" s="29" t="n">
        <v>0</v>
      </c>
      <c r="J42" s="29" t="n">
        <f aca="false">ROUND(H42*I42,2)</f>
        <v>0</v>
      </c>
      <c r="K42" s="29" t="n">
        <f aca="false">ROUND(J42*'Основания и цены'!$B$4,2)</f>
        <v>0</v>
      </c>
      <c r="L42" s="29" t="n">
        <f aca="false">Материалы!G13</f>
        <v>4483.2</v>
      </c>
      <c r="M42" s="29" t="n">
        <f aca="false">ROUND(H42*L42,2)</f>
        <v>455941.44</v>
      </c>
      <c r="N42" s="29" t="n">
        <v>0</v>
      </c>
      <c r="O42" s="29" t="n">
        <f aca="false">ROUND(H42*N42,2)</f>
        <v>0</v>
      </c>
      <c r="P42" s="29" t="n">
        <v>984</v>
      </c>
      <c r="Q42" s="29" t="n">
        <f aca="false">ROUND(H42*P42,2)</f>
        <v>100072.8</v>
      </c>
      <c r="R42" s="29" t="n">
        <f aca="false">ROUND(J42+K42+M42+O42+Q42,2)</f>
        <v>556014.24</v>
      </c>
      <c r="S42" s="26" t="s">
        <v>59</v>
      </c>
      <c r="T42" s="29" t="n">
        <f aca="false">IF(S42="УЧТЕНО",R42,0)</f>
        <v>556014.24</v>
      </c>
      <c r="U42" s="27" t="s">
        <v>169</v>
      </c>
    </row>
    <row r="43" customFormat="false" ht="21.75" hidden="false" customHeight="true" outlineLevel="0" collapsed="false">
      <c r="A43" s="32" t="n">
        <v>1</v>
      </c>
      <c r="B43" s="32" t="s">
        <v>74</v>
      </c>
      <c r="C43" s="32" t="s">
        <v>170</v>
      </c>
      <c r="D43" s="33" t="s">
        <v>171</v>
      </c>
      <c r="E43" s="34" t="s">
        <v>57</v>
      </c>
      <c r="F43" s="32" t="s">
        <v>57</v>
      </c>
      <c r="G43" s="32" t="s">
        <v>87</v>
      </c>
      <c r="H43" s="34" t="n">
        <v>11.8</v>
      </c>
      <c r="I43" s="35" t="n">
        <v>0</v>
      </c>
      <c r="J43" s="35" t="n">
        <f aca="false">ROUND(H43*I43,2)</f>
        <v>0</v>
      </c>
      <c r="K43" s="35" t="n">
        <f aca="false">ROUND(J43*'Основания и цены'!$B$4,2)</f>
        <v>0</v>
      </c>
      <c r="L43" s="35" t="n">
        <f aca="false">Материалы!G14</f>
        <v>4483.2</v>
      </c>
      <c r="M43" s="35" t="n">
        <f aca="false">ROUND(H43*L43,2)</f>
        <v>52901.76</v>
      </c>
      <c r="N43" s="35" t="n">
        <v>0</v>
      </c>
      <c r="O43" s="35" t="n">
        <f aca="false">ROUND(H43*N43,2)</f>
        <v>0</v>
      </c>
      <c r="P43" s="35" t="n">
        <v>984</v>
      </c>
      <c r="Q43" s="35" t="n">
        <f aca="false">ROUND(H43*P43,2)</f>
        <v>11611.2</v>
      </c>
      <c r="R43" s="35" t="n">
        <f aca="false">ROUND(J43+K43+M43+O43+Q43,2)</f>
        <v>64512.96</v>
      </c>
      <c r="S43" s="32" t="s">
        <v>172</v>
      </c>
      <c r="T43" s="35" t="n">
        <f aca="false">IF(S43="УЧТЕНО",R43,0)</f>
        <v>0</v>
      </c>
      <c r="U43" s="33" t="s">
        <v>173</v>
      </c>
    </row>
    <row r="44" customFormat="false" ht="30.75" hidden="false" customHeight="true" outlineLevel="0" collapsed="false">
      <c r="A44" s="26" t="n">
        <v>1</v>
      </c>
      <c r="B44" s="26" t="s">
        <v>74</v>
      </c>
      <c r="C44" s="26" t="s">
        <v>174</v>
      </c>
      <c r="D44" s="27" t="s">
        <v>175</v>
      </c>
      <c r="E44" s="28" t="s">
        <v>57</v>
      </c>
      <c r="F44" s="26" t="s">
        <v>57</v>
      </c>
      <c r="G44" s="26" t="s">
        <v>176</v>
      </c>
      <c r="H44" s="28" t="n">
        <v>59</v>
      </c>
      <c r="I44" s="29" t="n">
        <v>0</v>
      </c>
      <c r="J44" s="29" t="n">
        <f aca="false">ROUND(H44*I44,2)</f>
        <v>0</v>
      </c>
      <c r="K44" s="29" t="n">
        <f aca="false">ROUND(J44*'Основания и цены'!$B$4,2)</f>
        <v>0</v>
      </c>
      <c r="L44" s="29" t="n">
        <f aca="false">Материалы!G15</f>
        <v>2898</v>
      </c>
      <c r="M44" s="29" t="n">
        <f aca="false">ROUND(H44*L44,2)</f>
        <v>170982</v>
      </c>
      <c r="N44" s="29" t="n">
        <v>0</v>
      </c>
      <c r="O44" s="29" t="n">
        <f aca="false">ROUND(H44*N44,2)</f>
        <v>0</v>
      </c>
      <c r="P44" s="29" t="n">
        <v>0</v>
      </c>
      <c r="Q44" s="29" t="n">
        <f aca="false">ROUND(H44*P44,2)</f>
        <v>0</v>
      </c>
      <c r="R44" s="29" t="n">
        <f aca="false">ROUND(J44+K44+M44+O44+Q44,2)</f>
        <v>170982</v>
      </c>
      <c r="S44" s="26" t="s">
        <v>59</v>
      </c>
      <c r="T44" s="29" t="n">
        <f aca="false">IF(S44="УЧТЕНО",R44,0)</f>
        <v>170982</v>
      </c>
      <c r="U44" s="27" t="s">
        <v>177</v>
      </c>
    </row>
    <row r="45" customFormat="false" ht="21.75" hidden="false" customHeight="true" outlineLevel="0" collapsed="false">
      <c r="A45" s="26" t="n">
        <v>1</v>
      </c>
      <c r="B45" s="26" t="s">
        <v>74</v>
      </c>
      <c r="C45" s="26" t="s">
        <v>178</v>
      </c>
      <c r="D45" s="27" t="s">
        <v>179</v>
      </c>
      <c r="E45" s="28" t="s">
        <v>57</v>
      </c>
      <c r="F45" s="26" t="s">
        <v>57</v>
      </c>
      <c r="G45" s="26" t="s">
        <v>180</v>
      </c>
      <c r="H45" s="28" t="n">
        <v>2595</v>
      </c>
      <c r="I45" s="29" t="n">
        <v>0</v>
      </c>
      <c r="J45" s="29" t="n">
        <f aca="false">ROUND(H45*I45,2)</f>
        <v>0</v>
      </c>
      <c r="K45" s="29" t="n">
        <f aca="false">ROUND(J45*'Основания и цены'!$B$4,2)</f>
        <v>0</v>
      </c>
      <c r="L45" s="29" t="n">
        <f aca="false">Материалы!G16</f>
        <v>14.5</v>
      </c>
      <c r="M45" s="29" t="n">
        <f aca="false">ROUND(H45*L45,2)</f>
        <v>37627.5</v>
      </c>
      <c r="N45" s="29" t="n">
        <v>0</v>
      </c>
      <c r="O45" s="29" t="n">
        <f aca="false">ROUND(H45*N45,2)</f>
        <v>0</v>
      </c>
      <c r="P45" s="29" t="n">
        <v>0</v>
      </c>
      <c r="Q45" s="29" t="n">
        <f aca="false">ROUND(H45*P45,2)</f>
        <v>0</v>
      </c>
      <c r="R45" s="29" t="n">
        <f aca="false">ROUND(J45+K45+M45+O45+Q45,2)</f>
        <v>37627.5</v>
      </c>
      <c r="S45" s="26" t="s">
        <v>59</v>
      </c>
      <c r="T45" s="29" t="n">
        <f aca="false">IF(S45="УЧТЕНО",R45,0)</f>
        <v>37627.5</v>
      </c>
      <c r="U45" s="27" t="s">
        <v>181</v>
      </c>
    </row>
    <row r="46" customFormat="false" ht="21.75" hidden="false" customHeight="true" outlineLevel="0" collapsed="false">
      <c r="A46" s="26" t="n">
        <v>1</v>
      </c>
      <c r="B46" s="26" t="s">
        <v>74</v>
      </c>
      <c r="C46" s="26" t="s">
        <v>182</v>
      </c>
      <c r="D46" s="27" t="s">
        <v>183</v>
      </c>
      <c r="E46" s="28" t="s">
        <v>57</v>
      </c>
      <c r="F46" s="26" t="s">
        <v>57</v>
      </c>
      <c r="G46" s="26" t="s">
        <v>180</v>
      </c>
      <c r="H46" s="28" t="n">
        <v>30</v>
      </c>
      <c r="I46" s="29" t="n">
        <v>0</v>
      </c>
      <c r="J46" s="29" t="n">
        <f aca="false">ROUND(H46*I46,2)</f>
        <v>0</v>
      </c>
      <c r="K46" s="29" t="n">
        <f aca="false">ROUND(J46*'Основания и цены'!$B$4,2)</f>
        <v>0</v>
      </c>
      <c r="L46" s="29" t="n">
        <f aca="false">Материалы!G17</f>
        <v>1060.8</v>
      </c>
      <c r="M46" s="29" t="n">
        <f aca="false">ROUND(H46*L46,2)</f>
        <v>31824</v>
      </c>
      <c r="N46" s="29" t="n">
        <v>0</v>
      </c>
      <c r="O46" s="29" t="n">
        <f aca="false">ROUND(H46*N46,2)</f>
        <v>0</v>
      </c>
      <c r="P46" s="29" t="n">
        <v>0</v>
      </c>
      <c r="Q46" s="29" t="n">
        <f aca="false">ROUND(H46*P46,2)</f>
        <v>0</v>
      </c>
      <c r="R46" s="29" t="n">
        <f aca="false">ROUND(J46+K46+M46+O46+Q46,2)</f>
        <v>31824</v>
      </c>
      <c r="S46" s="26" t="s">
        <v>59</v>
      </c>
      <c r="T46" s="29" t="n">
        <f aca="false">IF(S46="УЧТЕНО",R46,0)</f>
        <v>31824</v>
      </c>
      <c r="U46" s="27" t="s">
        <v>184</v>
      </c>
    </row>
    <row r="47" customFormat="false" ht="21.75" hidden="false" customHeight="true" outlineLevel="0" collapsed="false">
      <c r="A47" s="26" t="n">
        <v>1</v>
      </c>
      <c r="B47" s="26" t="s">
        <v>74</v>
      </c>
      <c r="C47" s="26" t="s">
        <v>185</v>
      </c>
      <c r="D47" s="27" t="s">
        <v>186</v>
      </c>
      <c r="E47" s="28" t="s">
        <v>57</v>
      </c>
      <c r="F47" s="26" t="s">
        <v>57</v>
      </c>
      <c r="G47" s="26" t="s">
        <v>80</v>
      </c>
      <c r="H47" s="28" t="n">
        <v>380</v>
      </c>
      <c r="I47" s="29" t="n">
        <v>0</v>
      </c>
      <c r="J47" s="29" t="n">
        <f aca="false">ROUND(H47*I47,2)</f>
        <v>0</v>
      </c>
      <c r="K47" s="29" t="n">
        <f aca="false">ROUND(J47*'Основания и цены'!$B$4,2)</f>
        <v>0</v>
      </c>
      <c r="L47" s="29" t="n">
        <f aca="false">Материалы!G18</f>
        <v>136.32</v>
      </c>
      <c r="M47" s="29" t="n">
        <f aca="false">ROUND(H47*L47,2)</f>
        <v>51801.6</v>
      </c>
      <c r="N47" s="29" t="n">
        <v>0</v>
      </c>
      <c r="O47" s="29" t="n">
        <f aca="false">ROUND(H47*N47,2)</f>
        <v>0</v>
      </c>
      <c r="P47" s="29" t="n">
        <v>0</v>
      </c>
      <c r="Q47" s="29" t="n">
        <f aca="false">ROUND(H47*P47,2)</f>
        <v>0</v>
      </c>
      <c r="R47" s="29" t="n">
        <f aca="false">ROUND(J47+K47+M47+O47+Q47,2)</f>
        <v>51801.6</v>
      </c>
      <c r="S47" s="26" t="s">
        <v>59</v>
      </c>
      <c r="T47" s="29" t="n">
        <f aca="false">IF(S47="УЧТЕНО",R47,0)</f>
        <v>51801.6</v>
      </c>
      <c r="U47" s="27" t="s">
        <v>187</v>
      </c>
    </row>
    <row r="48" customFormat="false" ht="30.75" hidden="false" customHeight="true" outlineLevel="0" collapsed="false">
      <c r="A48" s="26" t="n">
        <v>1</v>
      </c>
      <c r="B48" s="26" t="s">
        <v>74</v>
      </c>
      <c r="C48" s="26" t="s">
        <v>188</v>
      </c>
      <c r="D48" s="27" t="s">
        <v>189</v>
      </c>
      <c r="E48" s="28" t="s">
        <v>57</v>
      </c>
      <c r="F48" s="26" t="s">
        <v>57</v>
      </c>
      <c r="G48" s="26" t="s">
        <v>190</v>
      </c>
      <c r="H48" s="28" t="n">
        <v>134</v>
      </c>
      <c r="I48" s="29" t="n">
        <v>0</v>
      </c>
      <c r="J48" s="29" t="n">
        <f aca="false">ROUND(H48*I48,2)</f>
        <v>0</v>
      </c>
      <c r="K48" s="29" t="n">
        <f aca="false">ROUND(J48*'Основания и цены'!$B$4,2)</f>
        <v>0</v>
      </c>
      <c r="L48" s="29" t="n">
        <f aca="false">Материалы!G19</f>
        <v>337.43</v>
      </c>
      <c r="M48" s="29" t="n">
        <f aca="false">ROUND(H48*L48,2)</f>
        <v>45215.62</v>
      </c>
      <c r="N48" s="29" t="n">
        <v>0</v>
      </c>
      <c r="O48" s="29" t="n">
        <f aca="false">ROUND(H48*N48,2)</f>
        <v>0</v>
      </c>
      <c r="P48" s="29" t="n">
        <v>0</v>
      </c>
      <c r="Q48" s="29" t="n">
        <f aca="false">ROUND(H48*P48,2)</f>
        <v>0</v>
      </c>
      <c r="R48" s="29" t="n">
        <f aca="false">ROUND(J48+K48+M48+O48+Q48,2)</f>
        <v>45215.62</v>
      </c>
      <c r="S48" s="26" t="s">
        <v>59</v>
      </c>
      <c r="T48" s="29" t="n">
        <f aca="false">IF(S48="УЧТЕНО",R48,0)</f>
        <v>45215.62</v>
      </c>
      <c r="U48" s="27" t="s">
        <v>191</v>
      </c>
    </row>
    <row r="49" customFormat="false" ht="30.75" hidden="false" customHeight="true" outlineLevel="0" collapsed="false">
      <c r="A49" s="26" t="n">
        <v>1</v>
      </c>
      <c r="B49" s="26" t="s">
        <v>74</v>
      </c>
      <c r="C49" s="26" t="s">
        <v>192</v>
      </c>
      <c r="D49" s="27" t="s">
        <v>193</v>
      </c>
      <c r="E49" s="28" t="s">
        <v>57</v>
      </c>
      <c r="F49" s="26" t="s">
        <v>57</v>
      </c>
      <c r="G49" s="26" t="s">
        <v>190</v>
      </c>
      <c r="H49" s="28" t="n">
        <v>36</v>
      </c>
      <c r="I49" s="29" t="n">
        <v>0</v>
      </c>
      <c r="J49" s="29" t="n">
        <f aca="false">ROUND(H49*I49,2)</f>
        <v>0</v>
      </c>
      <c r="K49" s="29" t="n">
        <f aca="false">ROUND(J49*'Основания и цены'!$B$4,2)</f>
        <v>0</v>
      </c>
      <c r="L49" s="29" t="n">
        <f aca="false">Материалы!G20</f>
        <v>223.44</v>
      </c>
      <c r="M49" s="29" t="n">
        <f aca="false">ROUND(H49*L49,2)</f>
        <v>8043.84</v>
      </c>
      <c r="N49" s="29" t="n">
        <v>0</v>
      </c>
      <c r="O49" s="29" t="n">
        <f aca="false">ROUND(H49*N49,2)</f>
        <v>0</v>
      </c>
      <c r="P49" s="29" t="n">
        <v>0</v>
      </c>
      <c r="Q49" s="29" t="n">
        <f aca="false">ROUND(H49*P49,2)</f>
        <v>0</v>
      </c>
      <c r="R49" s="29" t="n">
        <f aca="false">ROUND(J49+K49+M49+O49+Q49,2)</f>
        <v>8043.84</v>
      </c>
      <c r="S49" s="26" t="s">
        <v>59</v>
      </c>
      <c r="T49" s="29" t="n">
        <f aca="false">IF(S49="УЧТЕНО",R49,0)</f>
        <v>8043.84</v>
      </c>
      <c r="U49" s="27" t="s">
        <v>194</v>
      </c>
    </row>
    <row r="50" customFormat="false" ht="30.75" hidden="false" customHeight="true" outlineLevel="0" collapsed="false">
      <c r="A50" s="26" t="n">
        <v>1</v>
      </c>
      <c r="B50" s="26" t="s">
        <v>74</v>
      </c>
      <c r="C50" s="26" t="s">
        <v>195</v>
      </c>
      <c r="D50" s="27" t="s">
        <v>196</v>
      </c>
      <c r="E50" s="28" t="s">
        <v>57</v>
      </c>
      <c r="F50" s="26" t="s">
        <v>57</v>
      </c>
      <c r="G50" s="26" t="s">
        <v>80</v>
      </c>
      <c r="H50" s="28" t="n">
        <v>420</v>
      </c>
      <c r="I50" s="29" t="n">
        <v>0</v>
      </c>
      <c r="J50" s="29" t="n">
        <f aca="false">ROUND(H50*I50,2)</f>
        <v>0</v>
      </c>
      <c r="K50" s="29" t="n">
        <f aca="false">ROUND(J50*'Основания и цены'!$B$4,2)</f>
        <v>0</v>
      </c>
      <c r="L50" s="29" t="n">
        <f aca="false">Материалы!G21</f>
        <v>11.42</v>
      </c>
      <c r="M50" s="29" t="n">
        <f aca="false">ROUND(H50*L50,2)</f>
        <v>4796.4</v>
      </c>
      <c r="N50" s="29" t="n">
        <v>0</v>
      </c>
      <c r="O50" s="29" t="n">
        <f aca="false">ROUND(H50*N50,2)</f>
        <v>0</v>
      </c>
      <c r="P50" s="29" t="n">
        <v>0</v>
      </c>
      <c r="Q50" s="29" t="n">
        <f aca="false">ROUND(H50*P50,2)</f>
        <v>0</v>
      </c>
      <c r="R50" s="29" t="n">
        <f aca="false">ROUND(J50+K50+M50+O50+Q50,2)</f>
        <v>4796.4</v>
      </c>
      <c r="S50" s="26" t="s">
        <v>59</v>
      </c>
      <c r="T50" s="29" t="n">
        <f aca="false">IF(S50="УЧТЕНО",R50,0)</f>
        <v>4796.4</v>
      </c>
      <c r="U50" s="27" t="s">
        <v>197</v>
      </c>
    </row>
    <row r="51" customFormat="false" ht="21.75" hidden="false" customHeight="true" outlineLevel="0" collapsed="false">
      <c r="A51" s="26" t="n">
        <v>1</v>
      </c>
      <c r="B51" s="26" t="s">
        <v>74</v>
      </c>
      <c r="C51" s="26" t="s">
        <v>198</v>
      </c>
      <c r="D51" s="27" t="s">
        <v>199</v>
      </c>
      <c r="E51" s="28" t="s">
        <v>57</v>
      </c>
      <c r="F51" s="26" t="s">
        <v>57</v>
      </c>
      <c r="G51" s="26" t="s">
        <v>116</v>
      </c>
      <c r="H51" s="28" t="n">
        <v>0.09</v>
      </c>
      <c r="I51" s="29" t="n">
        <v>0</v>
      </c>
      <c r="J51" s="29" t="n">
        <f aca="false">ROUND(H51*I51,2)</f>
        <v>0</v>
      </c>
      <c r="K51" s="29" t="n">
        <f aca="false">ROUND(J51*'Основания и цены'!$B$4,2)</f>
        <v>0</v>
      </c>
      <c r="L51" s="29" t="n">
        <f aca="false">Материалы!G22</f>
        <v>158080</v>
      </c>
      <c r="M51" s="29" t="n">
        <f aca="false">ROUND(H51*L51,2)</f>
        <v>14227.2</v>
      </c>
      <c r="N51" s="29" t="n">
        <v>0</v>
      </c>
      <c r="O51" s="29" t="n">
        <f aca="false">ROUND(H51*N51,2)</f>
        <v>0</v>
      </c>
      <c r="P51" s="29" t="n">
        <v>0</v>
      </c>
      <c r="Q51" s="29" t="n">
        <f aca="false">ROUND(H51*P51,2)</f>
        <v>0</v>
      </c>
      <c r="R51" s="29" t="n">
        <f aca="false">ROUND(J51+K51+M51+O51+Q51,2)</f>
        <v>14227.2</v>
      </c>
      <c r="S51" s="26" t="s">
        <v>59</v>
      </c>
      <c r="T51" s="29" t="n">
        <f aca="false">IF(S51="УЧТЕНО",R51,0)</f>
        <v>14227.2</v>
      </c>
      <c r="U51" s="27" t="s">
        <v>200</v>
      </c>
    </row>
    <row r="52" customFormat="false" ht="21.75" hidden="false" customHeight="true" outlineLevel="0" collapsed="false">
      <c r="A52" s="26" t="n">
        <v>1</v>
      </c>
      <c r="B52" s="26" t="s">
        <v>74</v>
      </c>
      <c r="C52" s="26" t="s">
        <v>201</v>
      </c>
      <c r="D52" s="27" t="s">
        <v>202</v>
      </c>
      <c r="E52" s="28" t="s">
        <v>57</v>
      </c>
      <c r="F52" s="26" t="s">
        <v>57</v>
      </c>
      <c r="G52" s="26" t="s">
        <v>176</v>
      </c>
      <c r="H52" s="28" t="n">
        <v>15</v>
      </c>
      <c r="I52" s="29" t="n">
        <v>0</v>
      </c>
      <c r="J52" s="29" t="n">
        <f aca="false">ROUND(H52*I52,2)</f>
        <v>0</v>
      </c>
      <c r="K52" s="29" t="n">
        <f aca="false">ROUND(J52*'Основания и цены'!$B$4,2)</f>
        <v>0</v>
      </c>
      <c r="L52" s="29" t="n">
        <f aca="false">Материалы!G23</f>
        <v>758.4</v>
      </c>
      <c r="M52" s="29" t="n">
        <f aca="false">ROUND(H52*L52,2)</f>
        <v>11376</v>
      </c>
      <c r="N52" s="29" t="n">
        <v>0</v>
      </c>
      <c r="O52" s="29" t="n">
        <f aca="false">ROUND(H52*N52,2)</f>
        <v>0</v>
      </c>
      <c r="P52" s="29" t="n">
        <v>0</v>
      </c>
      <c r="Q52" s="29" t="n">
        <f aca="false">ROUND(H52*P52,2)</f>
        <v>0</v>
      </c>
      <c r="R52" s="29" t="n">
        <f aca="false">ROUND(J52+K52+M52+O52+Q52,2)</f>
        <v>11376</v>
      </c>
      <c r="S52" s="26" t="s">
        <v>59</v>
      </c>
      <c r="T52" s="29" t="n">
        <f aca="false">IF(S52="УЧТЕНО",R52,0)</f>
        <v>11376</v>
      </c>
      <c r="U52" s="27" t="s">
        <v>203</v>
      </c>
    </row>
    <row r="53" customFormat="false" ht="21.75" hidden="false" customHeight="true" outlineLevel="0" collapsed="false">
      <c r="A53" s="26" t="n">
        <v>1</v>
      </c>
      <c r="B53" s="26" t="s">
        <v>74</v>
      </c>
      <c r="C53" s="26" t="s">
        <v>204</v>
      </c>
      <c r="D53" s="27" t="s">
        <v>205</v>
      </c>
      <c r="E53" s="28" t="n">
        <v>37.5</v>
      </c>
      <c r="F53" s="26" t="s">
        <v>87</v>
      </c>
      <c r="G53" s="26" t="s">
        <v>87</v>
      </c>
      <c r="H53" s="28" t="n">
        <v>37.5</v>
      </c>
      <c r="I53" s="29" t="n">
        <v>0</v>
      </c>
      <c r="J53" s="29" t="n">
        <f aca="false">ROUND(H53*I53,2)</f>
        <v>0</v>
      </c>
      <c r="K53" s="29" t="n">
        <f aca="false">ROUND(J53*'Основания и цены'!$B$4,2)</f>
        <v>0</v>
      </c>
      <c r="L53" s="29" t="n">
        <f aca="false">Материалы!G24</f>
        <v>3720</v>
      </c>
      <c r="M53" s="29" t="n">
        <f aca="false">ROUND(H53*L53,2)</f>
        <v>139500</v>
      </c>
      <c r="N53" s="29" t="n">
        <v>0</v>
      </c>
      <c r="O53" s="29" t="n">
        <f aca="false">ROUND(H53*N53,2)</f>
        <v>0</v>
      </c>
      <c r="P53" s="29" t="n">
        <v>984</v>
      </c>
      <c r="Q53" s="29" t="n">
        <f aca="false">ROUND(H53*P53,2)</f>
        <v>36900</v>
      </c>
      <c r="R53" s="29" t="n">
        <f aca="false">ROUND(J53+K53+M53+O53+Q53,2)</f>
        <v>176400</v>
      </c>
      <c r="S53" s="26" t="s">
        <v>59</v>
      </c>
      <c r="T53" s="29" t="n">
        <f aca="false">IF(S53="УЧТЕНО",R53,0)</f>
        <v>176400</v>
      </c>
      <c r="U53" s="27" t="s">
        <v>206</v>
      </c>
    </row>
    <row r="54" customFormat="false" ht="21.75" hidden="false" customHeight="true" outlineLevel="0" collapsed="false">
      <c r="A54" s="32" t="n">
        <v>1</v>
      </c>
      <c r="B54" s="32" t="s">
        <v>74</v>
      </c>
      <c r="C54" s="32" t="s">
        <v>207</v>
      </c>
      <c r="D54" s="33" t="s">
        <v>208</v>
      </c>
      <c r="E54" s="34" t="s">
        <v>57</v>
      </c>
      <c r="F54" s="32" t="s">
        <v>57</v>
      </c>
      <c r="G54" s="32" t="s">
        <v>87</v>
      </c>
      <c r="H54" s="34" t="n">
        <v>4.5</v>
      </c>
      <c r="I54" s="35" t="n">
        <v>0</v>
      </c>
      <c r="J54" s="35" t="n">
        <f aca="false">ROUND(H54*I54,2)</f>
        <v>0</v>
      </c>
      <c r="K54" s="35" t="n">
        <f aca="false">ROUND(J54*'Основания и цены'!$B$4,2)</f>
        <v>0</v>
      </c>
      <c r="L54" s="35" t="n">
        <f aca="false">Материалы!G25</f>
        <v>3720</v>
      </c>
      <c r="M54" s="35" t="n">
        <f aca="false">ROUND(H54*L54,2)</f>
        <v>16740</v>
      </c>
      <c r="N54" s="35" t="n">
        <v>0</v>
      </c>
      <c r="O54" s="35" t="n">
        <f aca="false">ROUND(H54*N54,2)</f>
        <v>0</v>
      </c>
      <c r="P54" s="35" t="n">
        <v>984</v>
      </c>
      <c r="Q54" s="35" t="n">
        <f aca="false">ROUND(H54*P54,2)</f>
        <v>4428</v>
      </c>
      <c r="R54" s="35" t="n">
        <f aca="false">ROUND(J54+K54+M54+O54+Q54,2)</f>
        <v>21168</v>
      </c>
      <c r="S54" s="32" t="s">
        <v>172</v>
      </c>
      <c r="T54" s="35" t="n">
        <f aca="false">IF(S54="УЧТЕНО",R54,0)</f>
        <v>0</v>
      </c>
      <c r="U54" s="33" t="s">
        <v>209</v>
      </c>
    </row>
    <row r="55" customFormat="false" ht="21.75" hidden="false" customHeight="true" outlineLevel="0" collapsed="false">
      <c r="A55" s="26" t="n">
        <v>1</v>
      </c>
      <c r="B55" s="26" t="s">
        <v>74</v>
      </c>
      <c r="C55" s="26" t="s">
        <v>210</v>
      </c>
      <c r="D55" s="27" t="s">
        <v>211</v>
      </c>
      <c r="E55" s="28" t="s">
        <v>57</v>
      </c>
      <c r="F55" s="26" t="s">
        <v>57</v>
      </c>
      <c r="G55" s="26" t="s">
        <v>212</v>
      </c>
      <c r="H55" s="28" t="n">
        <v>1</v>
      </c>
      <c r="I55" s="29" t="n">
        <v>0</v>
      </c>
      <c r="J55" s="29" t="n">
        <f aca="false">ROUND(H55*I55,2)</f>
        <v>0</v>
      </c>
      <c r="K55" s="29" t="n">
        <f aca="false">ROUND(J55*'Основания и цены'!$B$4,2)</f>
        <v>0</v>
      </c>
      <c r="L55" s="29" t="n">
        <f aca="false">Материалы!G26</f>
        <v>33275.63</v>
      </c>
      <c r="M55" s="29" t="n">
        <f aca="false">ROUND(H55*L55,2)</f>
        <v>33275.63</v>
      </c>
      <c r="N55" s="29" t="n">
        <v>0</v>
      </c>
      <c r="O55" s="29" t="n">
        <f aca="false">ROUND(H55*N55,2)</f>
        <v>0</v>
      </c>
      <c r="P55" s="29" t="n">
        <v>0</v>
      </c>
      <c r="Q55" s="29" t="n">
        <f aca="false">ROUND(H55*P55,2)</f>
        <v>0</v>
      </c>
      <c r="R55" s="29" t="n">
        <f aca="false">ROUND(J55+K55+M55+O55+Q55,2)</f>
        <v>33275.63</v>
      </c>
      <c r="S55" s="26" t="s">
        <v>59</v>
      </c>
      <c r="T55" s="29" t="n">
        <f aca="false">IF(S55="УЧТЕНО",R55,0)</f>
        <v>33275.63</v>
      </c>
      <c r="U55" s="27" t="s">
        <v>213</v>
      </c>
    </row>
    <row r="56" customFormat="false" ht="21.75" hidden="false" customHeight="true" outlineLevel="0" collapsed="false">
      <c r="A56" s="32" t="n">
        <v>1</v>
      </c>
      <c r="B56" s="32" t="s">
        <v>74</v>
      </c>
      <c r="C56" s="32" t="s">
        <v>214</v>
      </c>
      <c r="D56" s="33" t="s">
        <v>215</v>
      </c>
      <c r="E56" s="34" t="s">
        <v>57</v>
      </c>
      <c r="F56" s="32" t="s">
        <v>57</v>
      </c>
      <c r="G56" s="32" t="s">
        <v>212</v>
      </c>
      <c r="H56" s="34" t="n">
        <v>1</v>
      </c>
      <c r="I56" s="35" t="n">
        <v>0</v>
      </c>
      <c r="J56" s="35" t="n">
        <f aca="false">ROUND(H56*I56,2)</f>
        <v>0</v>
      </c>
      <c r="K56" s="35" t="n">
        <f aca="false">ROUND(J56*'Основания и цены'!$B$4,2)</f>
        <v>0</v>
      </c>
      <c r="L56" s="35" t="n">
        <f aca="false">Материалы!G27</f>
        <v>1392.84</v>
      </c>
      <c r="M56" s="35" t="n">
        <f aca="false">ROUND(H56*L56,2)</f>
        <v>1392.84</v>
      </c>
      <c r="N56" s="35" t="n">
        <v>0</v>
      </c>
      <c r="O56" s="35" t="n">
        <f aca="false">ROUND(H56*N56,2)</f>
        <v>0</v>
      </c>
      <c r="P56" s="35" t="n">
        <v>0</v>
      </c>
      <c r="Q56" s="35" t="n">
        <f aca="false">ROUND(H56*P56,2)</f>
        <v>0</v>
      </c>
      <c r="R56" s="35" t="n">
        <f aca="false">ROUND(J56+K56+M56+O56+Q56,2)</f>
        <v>1392.84</v>
      </c>
      <c r="S56" s="32" t="s">
        <v>172</v>
      </c>
      <c r="T56" s="35" t="n">
        <f aca="false">IF(S56="УЧТЕНО",R56,0)</f>
        <v>0</v>
      </c>
      <c r="U56" s="33" t="s">
        <v>216</v>
      </c>
    </row>
    <row r="57" customFormat="false" ht="21.75" hidden="false" customHeight="true" outlineLevel="0" collapsed="false">
      <c r="A57" s="26" t="n">
        <v>1</v>
      </c>
      <c r="B57" s="26" t="s">
        <v>74</v>
      </c>
      <c r="C57" s="26" t="s">
        <v>217</v>
      </c>
      <c r="D57" s="27" t="s">
        <v>218</v>
      </c>
      <c r="E57" s="28" t="s">
        <v>57</v>
      </c>
      <c r="F57" s="26" t="s">
        <v>57</v>
      </c>
      <c r="G57" s="26" t="s">
        <v>58</v>
      </c>
      <c r="H57" s="28" t="n">
        <v>1</v>
      </c>
      <c r="I57" s="29" t="n">
        <v>0</v>
      </c>
      <c r="J57" s="29" t="n">
        <f aca="false">ROUND(H57*I57,2)</f>
        <v>0</v>
      </c>
      <c r="K57" s="29" t="n">
        <f aca="false">ROUND(J57*'Основания и цены'!$B$4,2)</f>
        <v>0</v>
      </c>
      <c r="L57" s="29" t="n">
        <v>0</v>
      </c>
      <c r="M57" s="29" t="n">
        <f aca="false">ROUND(H57*L57,2)</f>
        <v>0</v>
      </c>
      <c r="N57" s="29" t="n">
        <v>47160</v>
      </c>
      <c r="O57" s="29" t="n">
        <f aca="false">ROUND(H57*N57,2)</f>
        <v>47160</v>
      </c>
      <c r="P57" s="29" t="n">
        <v>0</v>
      </c>
      <c r="Q57" s="29" t="n">
        <f aca="false">ROUND(H57*P57,2)</f>
        <v>0</v>
      </c>
      <c r="R57" s="29" t="n">
        <f aca="false">ROUND(J57+K57+M57+O57+Q57,2)</f>
        <v>47160</v>
      </c>
      <c r="S57" s="26" t="s">
        <v>59</v>
      </c>
      <c r="T57" s="29" t="n">
        <f aca="false">IF(S57="УЧТЕНО",R57,0)</f>
        <v>47160</v>
      </c>
      <c r="U57" s="27" t="s">
        <v>219</v>
      </c>
    </row>
    <row r="58" customFormat="false" ht="21.75" hidden="false" customHeight="true" outlineLevel="0" collapsed="false">
      <c r="A58" s="26" t="n">
        <v>1</v>
      </c>
      <c r="B58" s="26" t="s">
        <v>74</v>
      </c>
      <c r="C58" s="26" t="s">
        <v>220</v>
      </c>
      <c r="D58" s="27" t="s">
        <v>221</v>
      </c>
      <c r="E58" s="28" t="s">
        <v>57</v>
      </c>
      <c r="F58" s="26" t="s">
        <v>57</v>
      </c>
      <c r="G58" s="26" t="s">
        <v>58</v>
      </c>
      <c r="H58" s="28" t="n">
        <v>2</v>
      </c>
      <c r="I58" s="29" t="n">
        <v>0</v>
      </c>
      <c r="J58" s="29" t="n">
        <f aca="false">ROUND(H58*I58,2)</f>
        <v>0</v>
      </c>
      <c r="K58" s="29" t="n">
        <f aca="false">ROUND(J58*'Основания и цены'!$B$4,2)</f>
        <v>0</v>
      </c>
      <c r="L58" s="29" t="n">
        <v>0</v>
      </c>
      <c r="M58" s="29" t="n">
        <f aca="false">ROUND(H58*L58,2)</f>
        <v>0</v>
      </c>
      <c r="N58" s="29" t="n">
        <v>6240</v>
      </c>
      <c r="O58" s="29" t="n">
        <f aca="false">ROUND(H58*N58,2)</f>
        <v>12480</v>
      </c>
      <c r="P58" s="29" t="n">
        <v>0</v>
      </c>
      <c r="Q58" s="29" t="n">
        <f aca="false">ROUND(H58*P58,2)</f>
        <v>0</v>
      </c>
      <c r="R58" s="29" t="n">
        <f aca="false">ROUND(J58+K58+M58+O58+Q58,2)</f>
        <v>12480</v>
      </c>
      <c r="S58" s="26" t="s">
        <v>59</v>
      </c>
      <c r="T58" s="29" t="n">
        <f aca="false">IF(S58="УЧТЕНО",R58,0)</f>
        <v>12480</v>
      </c>
      <c r="U58" s="27" t="s">
        <v>222</v>
      </c>
    </row>
    <row r="59" customFormat="false" ht="15" hidden="false" customHeight="true" outlineLevel="0" collapsed="false">
      <c r="A59" s="30"/>
      <c r="B59" s="30"/>
      <c r="C59" s="30"/>
      <c r="D59" s="30" t="s">
        <v>223</v>
      </c>
      <c r="E59" s="30"/>
      <c r="F59" s="30"/>
      <c r="G59" s="30"/>
      <c r="H59" s="30"/>
      <c r="I59" s="30"/>
      <c r="J59" s="31" t="n">
        <f aca="false">ROUND(SUMIF($S$13:$S$58,"УЧТЕНО",$J$13:$J$58),2)</f>
        <v>1315553.19</v>
      </c>
      <c r="K59" s="31" t="n">
        <f aca="false">ROUND(SUMIF($S$13:$S$58,"УЧТЕНО",$K$13:$K$58),2)</f>
        <v>394665.98</v>
      </c>
      <c r="L59" s="30"/>
      <c r="M59" s="31" t="n">
        <f aca="false">ROUND(SUMIF($S$13:$S$58,"УЧТЕНО",$M$13:$M$58),2)</f>
        <v>1697057.17</v>
      </c>
      <c r="N59" s="30"/>
      <c r="O59" s="31" t="n">
        <f aca="false">ROUND(SUMIF($S$13:$S$58,"УЧТЕНО",$O$13:$O$58),2)</f>
        <v>115800</v>
      </c>
      <c r="P59" s="30"/>
      <c r="Q59" s="31" t="n">
        <f aca="false">ROUND(SUMIF($S$13:$S$58,"УЧТЕНО",$Q$13:$Q$58),2)</f>
        <v>151142.4</v>
      </c>
      <c r="R59" s="31" t="n">
        <f aca="false">ROUND(J59+K59+M59+O59+Q59,2)</f>
        <v>3674218.74</v>
      </c>
      <c r="S59" s="30" t="s">
        <v>72</v>
      </c>
      <c r="T59" s="31" t="n">
        <f aca="false">R59</f>
        <v>3674218.74</v>
      </c>
      <c r="U59" s="30"/>
    </row>
    <row r="60" customFormat="false" ht="42" hidden="false" customHeight="true" outlineLevel="0" collapsed="false">
      <c r="A60" s="24" t="s">
        <v>224</v>
      </c>
      <c r="B60" s="24"/>
      <c r="C60" s="24"/>
      <c r="D60" s="24"/>
      <c r="E60" s="24"/>
      <c r="F60" s="24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</row>
    <row r="61" customFormat="false" ht="30.75" hidden="false" customHeight="true" outlineLevel="0" collapsed="false">
      <c r="A61" s="26" t="n">
        <v>1</v>
      </c>
      <c r="B61" s="26" t="s">
        <v>225</v>
      </c>
      <c r="C61" s="26" t="s">
        <v>226</v>
      </c>
      <c r="D61" s="27" t="s">
        <v>227</v>
      </c>
      <c r="E61" s="28" t="s">
        <v>57</v>
      </c>
      <c r="F61" s="26" t="s">
        <v>57</v>
      </c>
      <c r="G61" s="26" t="s">
        <v>58</v>
      </c>
      <c r="H61" s="28" t="n">
        <v>0</v>
      </c>
      <c r="I61" s="29" t="n">
        <v>0</v>
      </c>
      <c r="J61" s="29" t="n">
        <f aca="false">ROUND(H61*I61,2)</f>
        <v>0</v>
      </c>
      <c r="K61" s="29" t="n">
        <f aca="false">ROUND(J61*'Основания и цены'!$B$4,2)</f>
        <v>0</v>
      </c>
      <c r="L61" s="29" t="n">
        <v>0</v>
      </c>
      <c r="M61" s="29" t="n">
        <f aca="false">ROUND(H61*L61,2)</f>
        <v>0</v>
      </c>
      <c r="N61" s="29" t="n">
        <v>0</v>
      </c>
      <c r="O61" s="29" t="n">
        <f aca="false">ROUND(H61*N61,2)</f>
        <v>0</v>
      </c>
      <c r="P61" s="29" t="n">
        <v>0</v>
      </c>
      <c r="Q61" s="29" t="n">
        <f aca="false">ROUND(H61*P61,2)</f>
        <v>0</v>
      </c>
      <c r="R61" s="29" t="n">
        <f aca="false">ROUND(J61+K61+M61+O61+Q61,2)</f>
        <v>0</v>
      </c>
      <c r="S61" s="26" t="s">
        <v>59</v>
      </c>
      <c r="T61" s="29" t="n">
        <f aca="false">IF(S61="УЧТЕНО",R61,0)</f>
        <v>0</v>
      </c>
      <c r="U61" s="27" t="s">
        <v>228</v>
      </c>
    </row>
    <row r="62" customFormat="false" ht="30.75" hidden="false" customHeight="true" outlineLevel="0" collapsed="false">
      <c r="A62" s="26" t="n">
        <v>1</v>
      </c>
      <c r="B62" s="26" t="s">
        <v>225</v>
      </c>
      <c r="C62" s="26" t="s">
        <v>229</v>
      </c>
      <c r="D62" s="27" t="s">
        <v>79</v>
      </c>
      <c r="E62" s="28" t="s">
        <v>57</v>
      </c>
      <c r="F62" s="26" t="s">
        <v>57</v>
      </c>
      <c r="G62" s="26" t="s">
        <v>80</v>
      </c>
      <c r="H62" s="28" t="n">
        <v>9.126</v>
      </c>
      <c r="I62" s="29" t="n">
        <v>212.3</v>
      </c>
      <c r="J62" s="29" t="n">
        <f aca="false">ROUND(H62*I62,2)</f>
        <v>1937.45</v>
      </c>
      <c r="K62" s="29" t="n">
        <f aca="false">ROUND(J62*'Основания и цены'!$B$4,2)</f>
        <v>581.24</v>
      </c>
      <c r="L62" s="29" t="n">
        <v>0</v>
      </c>
      <c r="M62" s="29" t="n">
        <f aca="false">ROUND(H62*L62,2)</f>
        <v>0</v>
      </c>
      <c r="N62" s="29" t="n">
        <v>0</v>
      </c>
      <c r="O62" s="29" t="n">
        <f aca="false">ROUND(H62*N62,2)</f>
        <v>0</v>
      </c>
      <c r="P62" s="29" t="n">
        <v>0</v>
      </c>
      <c r="Q62" s="29" t="n">
        <f aca="false">ROUND(H62*P62,2)</f>
        <v>0</v>
      </c>
      <c r="R62" s="29" t="n">
        <f aca="false">ROUND(J62+K62+M62+O62+Q62,2)</f>
        <v>2518.69</v>
      </c>
      <c r="S62" s="26" t="s">
        <v>59</v>
      </c>
      <c r="T62" s="29" t="n">
        <f aca="false">IF(S62="УЧТЕНО",R62,0)</f>
        <v>2518.69</v>
      </c>
      <c r="U62" s="27" t="s">
        <v>230</v>
      </c>
    </row>
    <row r="63" customFormat="false" ht="21.75" hidden="false" customHeight="true" outlineLevel="0" collapsed="false">
      <c r="A63" s="26" t="n">
        <v>1</v>
      </c>
      <c r="B63" s="26" t="s">
        <v>225</v>
      </c>
      <c r="C63" s="26" t="s">
        <v>231</v>
      </c>
      <c r="D63" s="27" t="s">
        <v>232</v>
      </c>
      <c r="E63" s="28" t="s">
        <v>57</v>
      </c>
      <c r="F63" s="26" t="s">
        <v>57</v>
      </c>
      <c r="G63" s="26" t="s">
        <v>80</v>
      </c>
      <c r="H63" s="28" t="n">
        <v>66.69</v>
      </c>
      <c r="I63" s="29" t="n">
        <v>101.54</v>
      </c>
      <c r="J63" s="29" t="n">
        <f aca="false">ROUND(H63*I63,2)</f>
        <v>6771.7</v>
      </c>
      <c r="K63" s="29" t="n">
        <f aca="false">ROUND(J63*'Основания и цены'!$B$4,2)</f>
        <v>2031.51</v>
      </c>
      <c r="L63" s="29" t="n">
        <v>0</v>
      </c>
      <c r="M63" s="29" t="n">
        <f aca="false">ROUND(H63*L63,2)</f>
        <v>0</v>
      </c>
      <c r="N63" s="29" t="n">
        <v>0</v>
      </c>
      <c r="O63" s="29" t="n">
        <f aca="false">ROUND(H63*N63,2)</f>
        <v>0</v>
      </c>
      <c r="P63" s="29" t="n">
        <v>0</v>
      </c>
      <c r="Q63" s="29" t="n">
        <f aca="false">ROUND(H63*P63,2)</f>
        <v>0</v>
      </c>
      <c r="R63" s="29" t="n">
        <f aca="false">ROUND(J63+K63+M63+O63+Q63,2)</f>
        <v>8803.21</v>
      </c>
      <c r="S63" s="26" t="s">
        <v>59</v>
      </c>
      <c r="T63" s="29" t="n">
        <f aca="false">IF(S63="УЧТЕНО",R63,0)</f>
        <v>8803.21</v>
      </c>
      <c r="U63" s="27" t="s">
        <v>233</v>
      </c>
    </row>
    <row r="64" customFormat="false" ht="21.75" hidden="false" customHeight="true" outlineLevel="0" collapsed="false">
      <c r="A64" s="26" t="n">
        <v>1</v>
      </c>
      <c r="B64" s="26" t="s">
        <v>225</v>
      </c>
      <c r="C64" s="26" t="s">
        <v>234</v>
      </c>
      <c r="D64" s="27" t="s">
        <v>235</v>
      </c>
      <c r="E64" s="28" t="s">
        <v>57</v>
      </c>
      <c r="F64" s="26" t="s">
        <v>57</v>
      </c>
      <c r="G64" s="26" t="s">
        <v>80</v>
      </c>
      <c r="H64" s="28" t="n">
        <v>91.26</v>
      </c>
      <c r="I64" s="29" t="n">
        <v>46.15</v>
      </c>
      <c r="J64" s="29" t="n">
        <f aca="false">ROUND(H64*I64,2)</f>
        <v>4211.65</v>
      </c>
      <c r="K64" s="29" t="n">
        <f aca="false">ROUND(J64*'Основания и цены'!$B$4,2)</f>
        <v>1263.5</v>
      </c>
      <c r="L64" s="29" t="n">
        <v>0</v>
      </c>
      <c r="M64" s="29" t="n">
        <f aca="false">ROUND(H64*L64,2)</f>
        <v>0</v>
      </c>
      <c r="N64" s="29" t="n">
        <v>0</v>
      </c>
      <c r="O64" s="29" t="n">
        <f aca="false">ROUND(H64*N64,2)</f>
        <v>0</v>
      </c>
      <c r="P64" s="29" t="n">
        <v>0</v>
      </c>
      <c r="Q64" s="29" t="n">
        <f aca="false">ROUND(H64*P64,2)</f>
        <v>0</v>
      </c>
      <c r="R64" s="29" t="n">
        <f aca="false">ROUND(J64+K64+M64+O64+Q64,2)</f>
        <v>5475.15</v>
      </c>
      <c r="S64" s="26" t="s">
        <v>59</v>
      </c>
      <c r="T64" s="29" t="n">
        <f aca="false">IF(S64="УЧТЕНО",R64,0)</f>
        <v>5475.15</v>
      </c>
      <c r="U64" s="27" t="s">
        <v>236</v>
      </c>
    </row>
    <row r="65" customFormat="false" ht="21.75" hidden="false" customHeight="true" outlineLevel="0" collapsed="false">
      <c r="A65" s="26" t="n">
        <v>1</v>
      </c>
      <c r="B65" s="26" t="s">
        <v>225</v>
      </c>
      <c r="C65" s="26" t="s">
        <v>237</v>
      </c>
      <c r="D65" s="27" t="s">
        <v>238</v>
      </c>
      <c r="E65" s="28" t="s">
        <v>57</v>
      </c>
      <c r="F65" s="26" t="s">
        <v>57</v>
      </c>
      <c r="G65" s="26" t="s">
        <v>80</v>
      </c>
      <c r="H65" s="28" t="n">
        <v>66.69</v>
      </c>
      <c r="I65" s="29" t="n">
        <v>230.77</v>
      </c>
      <c r="J65" s="29" t="n">
        <f aca="false">ROUND(H65*I65,2)</f>
        <v>15390.05</v>
      </c>
      <c r="K65" s="29" t="n">
        <f aca="false">ROUND(J65*'Основания и цены'!$B$4,2)</f>
        <v>4617.02</v>
      </c>
      <c r="L65" s="29" t="n">
        <v>0</v>
      </c>
      <c r="M65" s="29" t="n">
        <f aca="false">ROUND(H65*L65,2)</f>
        <v>0</v>
      </c>
      <c r="N65" s="29" t="n">
        <v>0</v>
      </c>
      <c r="O65" s="29" t="n">
        <f aca="false">ROUND(H65*N65,2)</f>
        <v>0</v>
      </c>
      <c r="P65" s="29" t="n">
        <v>0</v>
      </c>
      <c r="Q65" s="29" t="n">
        <f aca="false">ROUND(H65*P65,2)</f>
        <v>0</v>
      </c>
      <c r="R65" s="29" t="n">
        <f aca="false">ROUND(J65+K65+M65+O65+Q65,2)</f>
        <v>20007.07</v>
      </c>
      <c r="S65" s="26" t="s">
        <v>59</v>
      </c>
      <c r="T65" s="29" t="n">
        <f aca="false">IF(S65="УЧТЕНО",R65,0)</f>
        <v>20007.07</v>
      </c>
      <c r="U65" s="27" t="s">
        <v>239</v>
      </c>
    </row>
    <row r="66" customFormat="false" ht="30.75" hidden="false" customHeight="true" outlineLevel="0" collapsed="false">
      <c r="A66" s="26" t="n">
        <v>1</v>
      </c>
      <c r="B66" s="26" t="s">
        <v>225</v>
      </c>
      <c r="C66" s="26" t="s">
        <v>240</v>
      </c>
      <c r="D66" s="27" t="s">
        <v>241</v>
      </c>
      <c r="E66" s="28" t="s">
        <v>57</v>
      </c>
      <c r="F66" s="26" t="s">
        <v>57</v>
      </c>
      <c r="G66" s="26" t="s">
        <v>87</v>
      </c>
      <c r="H66" s="28" t="n">
        <v>6.1</v>
      </c>
      <c r="I66" s="29" t="n">
        <v>3230.77</v>
      </c>
      <c r="J66" s="29" t="n">
        <f aca="false">ROUND(H66*I66,2)</f>
        <v>19707.7</v>
      </c>
      <c r="K66" s="29" t="n">
        <f aca="false">ROUND(J66*'Основания и цены'!$B$4,2)</f>
        <v>5912.31</v>
      </c>
      <c r="L66" s="29" t="n">
        <v>0</v>
      </c>
      <c r="M66" s="29" t="n">
        <f aca="false">ROUND(H66*L66,2)</f>
        <v>0</v>
      </c>
      <c r="N66" s="29" t="n">
        <v>0</v>
      </c>
      <c r="O66" s="29" t="n">
        <f aca="false">ROUND(H66*N66,2)</f>
        <v>0</v>
      </c>
      <c r="P66" s="29" t="n">
        <v>0</v>
      </c>
      <c r="Q66" s="29" t="n">
        <f aca="false">ROUND(H66*P66,2)</f>
        <v>0</v>
      </c>
      <c r="R66" s="29" t="n">
        <f aca="false">ROUND(J66+K66+M66+O66+Q66,2)</f>
        <v>25620.01</v>
      </c>
      <c r="S66" s="26" t="s">
        <v>59</v>
      </c>
      <c r="T66" s="29" t="n">
        <f aca="false">IF(S66="УЧТЕНО",R66,0)</f>
        <v>25620.01</v>
      </c>
      <c r="U66" s="27" t="s">
        <v>242</v>
      </c>
    </row>
    <row r="67" customFormat="false" ht="21.75" hidden="false" customHeight="true" outlineLevel="0" collapsed="false">
      <c r="A67" s="26" t="n">
        <v>1</v>
      </c>
      <c r="B67" s="26" t="s">
        <v>225</v>
      </c>
      <c r="C67" s="26" t="s">
        <v>243</v>
      </c>
      <c r="D67" s="27" t="s">
        <v>244</v>
      </c>
      <c r="E67" s="28" t="s">
        <v>57</v>
      </c>
      <c r="F67" s="26" t="s">
        <v>57</v>
      </c>
      <c r="G67" s="26" t="s">
        <v>180</v>
      </c>
      <c r="H67" s="28" t="n">
        <v>2</v>
      </c>
      <c r="I67" s="29" t="n">
        <v>0</v>
      </c>
      <c r="J67" s="29" t="n">
        <f aca="false">ROUND(H67*I67,2)</f>
        <v>0</v>
      </c>
      <c r="K67" s="29" t="n">
        <f aca="false">ROUND(J67*'Основания и цены'!$B$4,2)</f>
        <v>0</v>
      </c>
      <c r="L67" s="29" t="n">
        <f aca="false">Материалы!G28</f>
        <v>10752</v>
      </c>
      <c r="M67" s="29" t="n">
        <f aca="false">ROUND(H67*L67,2)</f>
        <v>21504</v>
      </c>
      <c r="N67" s="29" t="n">
        <v>0</v>
      </c>
      <c r="O67" s="29" t="n">
        <f aca="false">ROUND(H67*N67,2)</f>
        <v>0</v>
      </c>
      <c r="P67" s="29" t="n">
        <v>0</v>
      </c>
      <c r="Q67" s="29" t="n">
        <f aca="false">ROUND(H67*P67,2)</f>
        <v>0</v>
      </c>
      <c r="R67" s="29" t="n">
        <f aca="false">ROUND(J67+K67+M67+O67+Q67,2)</f>
        <v>21504</v>
      </c>
      <c r="S67" s="26" t="s">
        <v>59</v>
      </c>
      <c r="T67" s="29" t="n">
        <f aca="false">IF(S67="УЧТЕНО",R67,0)</f>
        <v>21504</v>
      </c>
      <c r="U67" s="27" t="s">
        <v>245</v>
      </c>
    </row>
    <row r="68" customFormat="false" ht="30.75" hidden="false" customHeight="true" outlineLevel="0" collapsed="false">
      <c r="A68" s="26" t="n">
        <v>1</v>
      </c>
      <c r="B68" s="26" t="s">
        <v>225</v>
      </c>
      <c r="C68" s="26" t="s">
        <v>246</v>
      </c>
      <c r="D68" s="27" t="s">
        <v>175</v>
      </c>
      <c r="E68" s="28" t="s">
        <v>57</v>
      </c>
      <c r="F68" s="26" t="s">
        <v>57</v>
      </c>
      <c r="G68" s="26" t="s">
        <v>176</v>
      </c>
      <c r="H68" s="28" t="n">
        <v>15</v>
      </c>
      <c r="I68" s="29" t="n">
        <v>0</v>
      </c>
      <c r="J68" s="29" t="n">
        <f aca="false">ROUND(H68*I68,2)</f>
        <v>0</v>
      </c>
      <c r="K68" s="29" t="n">
        <f aca="false">ROUND(J68*'Основания и цены'!$B$4,2)</f>
        <v>0</v>
      </c>
      <c r="L68" s="29" t="n">
        <f aca="false">Материалы!G29</f>
        <v>2898</v>
      </c>
      <c r="M68" s="29" t="n">
        <f aca="false">ROUND(H68*L68,2)</f>
        <v>43470</v>
      </c>
      <c r="N68" s="29" t="n">
        <v>0</v>
      </c>
      <c r="O68" s="29" t="n">
        <f aca="false">ROUND(H68*N68,2)</f>
        <v>0</v>
      </c>
      <c r="P68" s="29" t="n">
        <v>0</v>
      </c>
      <c r="Q68" s="29" t="n">
        <f aca="false">ROUND(H68*P68,2)</f>
        <v>0</v>
      </c>
      <c r="R68" s="29" t="n">
        <f aca="false">ROUND(J68+K68+M68+O68+Q68,2)</f>
        <v>43470</v>
      </c>
      <c r="S68" s="26" t="s">
        <v>59</v>
      </c>
      <c r="T68" s="29" t="n">
        <f aca="false">IF(S68="УЧТЕНО",R68,0)</f>
        <v>43470</v>
      </c>
      <c r="U68" s="27" t="s">
        <v>247</v>
      </c>
    </row>
    <row r="69" customFormat="false" ht="21.75" hidden="false" customHeight="true" outlineLevel="0" collapsed="false">
      <c r="A69" s="26" t="n">
        <v>1</v>
      </c>
      <c r="B69" s="26" t="s">
        <v>225</v>
      </c>
      <c r="C69" s="26" t="s">
        <v>248</v>
      </c>
      <c r="D69" s="27" t="s">
        <v>179</v>
      </c>
      <c r="E69" s="28" t="s">
        <v>57</v>
      </c>
      <c r="F69" s="26" t="s">
        <v>57</v>
      </c>
      <c r="G69" s="26" t="s">
        <v>180</v>
      </c>
      <c r="H69" s="28" t="n">
        <v>485</v>
      </c>
      <c r="I69" s="29" t="n">
        <v>0</v>
      </c>
      <c r="J69" s="29" t="n">
        <f aca="false">ROUND(H69*I69,2)</f>
        <v>0</v>
      </c>
      <c r="K69" s="29" t="n">
        <f aca="false">ROUND(J69*'Основания и цены'!$B$4,2)</f>
        <v>0</v>
      </c>
      <c r="L69" s="29" t="n">
        <f aca="false">Материалы!G30</f>
        <v>14.5</v>
      </c>
      <c r="M69" s="29" t="n">
        <f aca="false">ROUND(H69*L69,2)</f>
        <v>7032.5</v>
      </c>
      <c r="N69" s="29" t="n">
        <v>0</v>
      </c>
      <c r="O69" s="29" t="n">
        <f aca="false">ROUND(H69*N69,2)</f>
        <v>0</v>
      </c>
      <c r="P69" s="29" t="n">
        <v>0</v>
      </c>
      <c r="Q69" s="29" t="n">
        <f aca="false">ROUND(H69*P69,2)</f>
        <v>0</v>
      </c>
      <c r="R69" s="29" t="n">
        <f aca="false">ROUND(J69+K69+M69+O69+Q69,2)</f>
        <v>7032.5</v>
      </c>
      <c r="S69" s="26" t="s">
        <v>59</v>
      </c>
      <c r="T69" s="29" t="n">
        <f aca="false">IF(S69="УЧТЕНО",R69,0)</f>
        <v>7032.5</v>
      </c>
      <c r="U69" s="27" t="s">
        <v>249</v>
      </c>
    </row>
    <row r="70" customFormat="false" ht="21.75" hidden="false" customHeight="true" outlineLevel="0" collapsed="false">
      <c r="A70" s="26" t="n">
        <v>1</v>
      </c>
      <c r="B70" s="26" t="s">
        <v>225</v>
      </c>
      <c r="C70" s="26" t="s">
        <v>250</v>
      </c>
      <c r="D70" s="27" t="s">
        <v>186</v>
      </c>
      <c r="E70" s="28" t="s">
        <v>57</v>
      </c>
      <c r="F70" s="26" t="s">
        <v>57</v>
      </c>
      <c r="G70" s="26" t="s">
        <v>80</v>
      </c>
      <c r="H70" s="28" t="n">
        <v>70</v>
      </c>
      <c r="I70" s="29" t="n">
        <v>0</v>
      </c>
      <c r="J70" s="29" t="n">
        <f aca="false">ROUND(H70*I70,2)</f>
        <v>0</v>
      </c>
      <c r="K70" s="29" t="n">
        <f aca="false">ROUND(J70*'Основания и цены'!$B$4,2)</f>
        <v>0</v>
      </c>
      <c r="L70" s="29" t="n">
        <f aca="false">Материалы!G31</f>
        <v>136.32</v>
      </c>
      <c r="M70" s="29" t="n">
        <f aca="false">ROUND(H70*L70,2)</f>
        <v>9542.4</v>
      </c>
      <c r="N70" s="29" t="n">
        <v>0</v>
      </c>
      <c r="O70" s="29" t="n">
        <f aca="false">ROUND(H70*N70,2)</f>
        <v>0</v>
      </c>
      <c r="P70" s="29" t="n">
        <v>0</v>
      </c>
      <c r="Q70" s="29" t="n">
        <f aca="false">ROUND(H70*P70,2)</f>
        <v>0</v>
      </c>
      <c r="R70" s="29" t="n">
        <f aca="false">ROUND(J70+K70+M70+O70+Q70,2)</f>
        <v>9542.4</v>
      </c>
      <c r="S70" s="26" t="s">
        <v>59</v>
      </c>
      <c r="T70" s="29" t="n">
        <f aca="false">IF(S70="УЧТЕНО",R70,0)</f>
        <v>9542.4</v>
      </c>
      <c r="U70" s="27" t="s">
        <v>251</v>
      </c>
    </row>
    <row r="71" customFormat="false" ht="21.75" hidden="false" customHeight="true" outlineLevel="0" collapsed="false">
      <c r="A71" s="26" t="n">
        <v>1</v>
      </c>
      <c r="B71" s="26" t="s">
        <v>225</v>
      </c>
      <c r="C71" s="26" t="s">
        <v>252</v>
      </c>
      <c r="D71" s="27" t="s">
        <v>253</v>
      </c>
      <c r="E71" s="28" t="s">
        <v>57</v>
      </c>
      <c r="F71" s="26" t="s">
        <v>57</v>
      </c>
      <c r="G71" s="26" t="s">
        <v>87</v>
      </c>
      <c r="H71" s="28" t="n">
        <v>7</v>
      </c>
      <c r="I71" s="29" t="n">
        <v>0</v>
      </c>
      <c r="J71" s="29" t="n">
        <f aca="false">ROUND(H71*I71,2)</f>
        <v>0</v>
      </c>
      <c r="K71" s="29" t="n">
        <f aca="false">ROUND(J71*'Основания и цены'!$B$4,2)</f>
        <v>0</v>
      </c>
      <c r="L71" s="29" t="n">
        <f aca="false">Материалы!G32</f>
        <v>4483.2</v>
      </c>
      <c r="M71" s="29" t="n">
        <f aca="false">ROUND(H71*L71,2)</f>
        <v>31382.4</v>
      </c>
      <c r="N71" s="29" t="n">
        <v>0</v>
      </c>
      <c r="O71" s="29" t="n">
        <f aca="false">ROUND(H71*N71,2)</f>
        <v>0</v>
      </c>
      <c r="P71" s="29" t="n">
        <v>984</v>
      </c>
      <c r="Q71" s="29" t="n">
        <f aca="false">ROUND(H71*P71,2)</f>
        <v>6888</v>
      </c>
      <c r="R71" s="29" t="n">
        <f aca="false">ROUND(J71+K71+M71+O71+Q71,2)</f>
        <v>38270.4</v>
      </c>
      <c r="S71" s="26" t="s">
        <v>59</v>
      </c>
      <c r="T71" s="29" t="n">
        <f aca="false">IF(S71="УЧТЕНО",R71,0)</f>
        <v>38270.4</v>
      </c>
      <c r="U71" s="27" t="s">
        <v>254</v>
      </c>
    </row>
    <row r="72" customFormat="false" ht="21.75" hidden="false" customHeight="true" outlineLevel="0" collapsed="false">
      <c r="A72" s="26" t="n">
        <v>1</v>
      </c>
      <c r="B72" s="26" t="s">
        <v>225</v>
      </c>
      <c r="C72" s="26" t="s">
        <v>255</v>
      </c>
      <c r="D72" s="27" t="s">
        <v>211</v>
      </c>
      <c r="E72" s="28" t="s">
        <v>57</v>
      </c>
      <c r="F72" s="26" t="s">
        <v>57</v>
      </c>
      <c r="G72" s="26" t="s">
        <v>212</v>
      </c>
      <c r="H72" s="28" t="n">
        <v>1</v>
      </c>
      <c r="I72" s="29" t="n">
        <v>0</v>
      </c>
      <c r="J72" s="29" t="n">
        <f aca="false">ROUND(H72*I72,2)</f>
        <v>0</v>
      </c>
      <c r="K72" s="29" t="n">
        <f aca="false">ROUND(J72*'Основания и цены'!$B$4,2)</f>
        <v>0</v>
      </c>
      <c r="L72" s="29" t="n">
        <f aca="false">Материалы!G33</f>
        <v>2258.63</v>
      </c>
      <c r="M72" s="29" t="n">
        <f aca="false">ROUND(H72*L72,2)</f>
        <v>2258.63</v>
      </c>
      <c r="N72" s="29" t="n">
        <v>0</v>
      </c>
      <c r="O72" s="29" t="n">
        <f aca="false">ROUND(H72*N72,2)</f>
        <v>0</v>
      </c>
      <c r="P72" s="29" t="n">
        <v>0</v>
      </c>
      <c r="Q72" s="29" t="n">
        <f aca="false">ROUND(H72*P72,2)</f>
        <v>0</v>
      </c>
      <c r="R72" s="29" t="n">
        <f aca="false">ROUND(J72+K72+M72+O72+Q72,2)</f>
        <v>2258.63</v>
      </c>
      <c r="S72" s="26" t="s">
        <v>59</v>
      </c>
      <c r="T72" s="29" t="n">
        <f aca="false">IF(S72="УЧТЕНО",R72,0)</f>
        <v>2258.63</v>
      </c>
      <c r="U72" s="27" t="s">
        <v>256</v>
      </c>
    </row>
    <row r="73" customFormat="false" ht="21.75" hidden="false" customHeight="true" outlineLevel="0" collapsed="false">
      <c r="A73" s="26" t="n">
        <v>1</v>
      </c>
      <c r="B73" s="26" t="s">
        <v>225</v>
      </c>
      <c r="C73" s="26" t="s">
        <v>257</v>
      </c>
      <c r="D73" s="27" t="s">
        <v>221</v>
      </c>
      <c r="E73" s="28" t="s">
        <v>57</v>
      </c>
      <c r="F73" s="26" t="s">
        <v>57</v>
      </c>
      <c r="G73" s="26" t="s">
        <v>58</v>
      </c>
      <c r="H73" s="28" t="n">
        <v>1</v>
      </c>
      <c r="I73" s="29" t="n">
        <v>0</v>
      </c>
      <c r="J73" s="29" t="n">
        <f aca="false">ROUND(H73*I73,2)</f>
        <v>0</v>
      </c>
      <c r="K73" s="29" t="n">
        <f aca="false">ROUND(J73*'Основания и цены'!$B$4,2)</f>
        <v>0</v>
      </c>
      <c r="L73" s="29" t="n">
        <v>0</v>
      </c>
      <c r="M73" s="29" t="n">
        <f aca="false">ROUND(H73*L73,2)</f>
        <v>0</v>
      </c>
      <c r="N73" s="29" t="n">
        <v>6240</v>
      </c>
      <c r="O73" s="29" t="n">
        <f aca="false">ROUND(H73*N73,2)</f>
        <v>6240</v>
      </c>
      <c r="P73" s="29" t="n">
        <v>0</v>
      </c>
      <c r="Q73" s="29" t="n">
        <f aca="false">ROUND(H73*P73,2)</f>
        <v>0</v>
      </c>
      <c r="R73" s="29" t="n">
        <f aca="false">ROUND(J73+K73+M73+O73+Q73,2)</f>
        <v>6240</v>
      </c>
      <c r="S73" s="26" t="s">
        <v>59</v>
      </c>
      <c r="T73" s="29" t="n">
        <f aca="false">IF(S73="УЧТЕНО",R73,0)</f>
        <v>6240</v>
      </c>
      <c r="U73" s="27" t="s">
        <v>258</v>
      </c>
    </row>
    <row r="74" customFormat="false" ht="21.75" hidden="false" customHeight="true" outlineLevel="0" collapsed="false">
      <c r="A74" s="26" t="n">
        <v>1</v>
      </c>
      <c r="B74" s="26" t="s">
        <v>225</v>
      </c>
      <c r="C74" s="26" t="s">
        <v>259</v>
      </c>
      <c r="D74" s="27" t="s">
        <v>218</v>
      </c>
      <c r="E74" s="28" t="s">
        <v>57</v>
      </c>
      <c r="F74" s="26" t="s">
        <v>57</v>
      </c>
      <c r="G74" s="26" t="s">
        <v>58</v>
      </c>
      <c r="H74" s="28" t="n">
        <v>1</v>
      </c>
      <c r="I74" s="29" t="n">
        <v>0</v>
      </c>
      <c r="J74" s="29" t="n">
        <f aca="false">ROUND(H74*I74,2)</f>
        <v>0</v>
      </c>
      <c r="K74" s="29" t="n">
        <f aca="false">ROUND(J74*'Основания и цены'!$B$4,2)</f>
        <v>0</v>
      </c>
      <c r="L74" s="29" t="n">
        <v>0</v>
      </c>
      <c r="M74" s="29" t="n">
        <f aca="false">ROUND(H74*L74,2)</f>
        <v>0</v>
      </c>
      <c r="N74" s="29" t="n">
        <v>47160</v>
      </c>
      <c r="O74" s="29" t="n">
        <f aca="false">ROUND(H74*N74,2)</f>
        <v>47160</v>
      </c>
      <c r="P74" s="29" t="n">
        <v>0</v>
      </c>
      <c r="Q74" s="29" t="n">
        <f aca="false">ROUND(H74*P74,2)</f>
        <v>0</v>
      </c>
      <c r="R74" s="29" t="n">
        <f aca="false">ROUND(J74+K74+M74+O74+Q74,2)</f>
        <v>47160</v>
      </c>
      <c r="S74" s="26" t="s">
        <v>59</v>
      </c>
      <c r="T74" s="29" t="n">
        <f aca="false">IF(S74="УЧТЕНО",R74,0)</f>
        <v>47160</v>
      </c>
      <c r="U74" s="27" t="s">
        <v>260</v>
      </c>
    </row>
    <row r="75" customFormat="false" ht="15" hidden="false" customHeight="true" outlineLevel="0" collapsed="false">
      <c r="A75" s="30"/>
      <c r="B75" s="30"/>
      <c r="C75" s="30"/>
      <c r="D75" s="30" t="s">
        <v>261</v>
      </c>
      <c r="E75" s="30"/>
      <c r="F75" s="30"/>
      <c r="G75" s="30"/>
      <c r="H75" s="30"/>
      <c r="I75" s="30"/>
      <c r="J75" s="31" t="n">
        <f aca="false">ROUND(SUMIF($S$61:$S$74,"УЧТЕНО",$J$61:$J$74),2)</f>
        <v>48018.55</v>
      </c>
      <c r="K75" s="31" t="n">
        <f aca="false">ROUND(SUMIF($S$61:$S$74,"УЧТЕНО",$K$61:$K$74),2)</f>
        <v>14405.58</v>
      </c>
      <c r="L75" s="30"/>
      <c r="M75" s="31" t="n">
        <f aca="false">ROUND(SUMIF($S$61:$S$74,"УЧТЕНО",$M$61:$M$74),2)</f>
        <v>115189.93</v>
      </c>
      <c r="N75" s="30"/>
      <c r="O75" s="31" t="n">
        <f aca="false">ROUND(SUMIF($S$61:$S$74,"УЧТЕНО",$O$61:$O$74),2)</f>
        <v>53400</v>
      </c>
      <c r="P75" s="30"/>
      <c r="Q75" s="31" t="n">
        <f aca="false">ROUND(SUMIF($S$61:$S$74,"УЧТЕНО",$Q$61:$Q$74),2)</f>
        <v>6888</v>
      </c>
      <c r="R75" s="31" t="n">
        <f aca="false">ROUND(J75+K75+M75+O75+Q75,2)</f>
        <v>237902.06</v>
      </c>
      <c r="S75" s="30" t="s">
        <v>72</v>
      </c>
      <c r="T75" s="31" t="n">
        <f aca="false">R75</f>
        <v>237902.06</v>
      </c>
      <c r="U75" s="30"/>
    </row>
    <row r="76" customFormat="false" ht="42" hidden="false" customHeight="true" outlineLevel="0" collapsed="false">
      <c r="A76" s="24" t="s">
        <v>262</v>
      </c>
      <c r="B76" s="24"/>
      <c r="C76" s="24"/>
      <c r="D76" s="24"/>
      <c r="E76" s="24"/>
      <c r="F76" s="24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</row>
    <row r="77" customFormat="false" ht="21.75" hidden="false" customHeight="true" outlineLevel="0" collapsed="false">
      <c r="A77" s="26" t="n">
        <v>1</v>
      </c>
      <c r="B77" s="26" t="s">
        <v>263</v>
      </c>
      <c r="C77" s="26" t="s">
        <v>264</v>
      </c>
      <c r="D77" s="27" t="s">
        <v>265</v>
      </c>
      <c r="E77" s="28" t="s">
        <v>57</v>
      </c>
      <c r="F77" s="26" t="s">
        <v>57</v>
      </c>
      <c r="G77" s="26" t="s">
        <v>80</v>
      </c>
      <c r="H77" s="28" t="n">
        <v>357.3</v>
      </c>
      <c r="I77" s="29" t="n">
        <v>92.3</v>
      </c>
      <c r="J77" s="29" t="n">
        <f aca="false">ROUND(H77*I77,2)</f>
        <v>32978.79</v>
      </c>
      <c r="K77" s="29" t="n">
        <f aca="false">ROUND(J77*'Основания и цены'!$B$4,2)</f>
        <v>9893.64</v>
      </c>
      <c r="L77" s="29" t="n">
        <v>0</v>
      </c>
      <c r="M77" s="29" t="n">
        <f aca="false">ROUND(H77*L77,2)</f>
        <v>0</v>
      </c>
      <c r="N77" s="29" t="n">
        <v>0</v>
      </c>
      <c r="O77" s="29" t="n">
        <f aca="false">ROUND(H77*N77,2)</f>
        <v>0</v>
      </c>
      <c r="P77" s="29" t="n">
        <v>0</v>
      </c>
      <c r="Q77" s="29" t="n">
        <f aca="false">ROUND(H77*P77,2)</f>
        <v>0</v>
      </c>
      <c r="R77" s="29" t="n">
        <f aca="false">ROUND(J77+K77+M77+O77+Q77,2)</f>
        <v>42872.43</v>
      </c>
      <c r="S77" s="26" t="s">
        <v>59</v>
      </c>
      <c r="T77" s="29" t="n">
        <f aca="false">IF(S77="УЧТЕНО",R77,0)</f>
        <v>42872.43</v>
      </c>
      <c r="U77" s="27" t="s">
        <v>266</v>
      </c>
    </row>
    <row r="78" customFormat="false" ht="30.75" hidden="false" customHeight="true" outlineLevel="0" collapsed="false">
      <c r="A78" s="26" t="n">
        <v>1</v>
      </c>
      <c r="B78" s="26" t="s">
        <v>263</v>
      </c>
      <c r="C78" s="26" t="s">
        <v>267</v>
      </c>
      <c r="D78" s="27" t="s">
        <v>268</v>
      </c>
      <c r="E78" s="28" t="s">
        <v>57</v>
      </c>
      <c r="F78" s="26" t="s">
        <v>57</v>
      </c>
      <c r="G78" s="26" t="s">
        <v>135</v>
      </c>
      <c r="H78" s="28" t="n">
        <v>85</v>
      </c>
      <c r="I78" s="29" t="n">
        <v>600</v>
      </c>
      <c r="J78" s="29" t="n">
        <f aca="false">ROUND(H78*I78,2)</f>
        <v>51000</v>
      </c>
      <c r="K78" s="29" t="n">
        <f aca="false">ROUND(J78*'Основания и цены'!$B$4,2)</f>
        <v>15300</v>
      </c>
      <c r="L78" s="29" t="n">
        <f aca="false">Материалы!G34</f>
        <v>678</v>
      </c>
      <c r="M78" s="29" t="n">
        <f aca="false">ROUND(H78*L78,2)</f>
        <v>57630</v>
      </c>
      <c r="N78" s="29" t="n">
        <v>0</v>
      </c>
      <c r="O78" s="29" t="n">
        <f aca="false">ROUND(H78*N78,2)</f>
        <v>0</v>
      </c>
      <c r="P78" s="29" t="n">
        <v>0</v>
      </c>
      <c r="Q78" s="29" t="n">
        <f aca="false">ROUND(H78*P78,2)</f>
        <v>0</v>
      </c>
      <c r="R78" s="29" t="n">
        <f aca="false">ROUND(J78+K78+M78+O78+Q78,2)</f>
        <v>123930</v>
      </c>
      <c r="S78" s="26" t="s">
        <v>59</v>
      </c>
      <c r="T78" s="29" t="n">
        <f aca="false">IF(S78="УЧТЕНО",R78,0)</f>
        <v>123930</v>
      </c>
      <c r="U78" s="27" t="s">
        <v>269</v>
      </c>
    </row>
    <row r="79" customFormat="false" ht="30.75" hidden="false" customHeight="true" outlineLevel="0" collapsed="false">
      <c r="A79" s="26" t="n">
        <v>1</v>
      </c>
      <c r="B79" s="26" t="s">
        <v>263</v>
      </c>
      <c r="C79" s="26" t="s">
        <v>270</v>
      </c>
      <c r="D79" s="27" t="s">
        <v>271</v>
      </c>
      <c r="E79" s="28" t="n">
        <v>390</v>
      </c>
      <c r="F79" s="26" t="s">
        <v>80</v>
      </c>
      <c r="G79" s="26" t="s">
        <v>80</v>
      </c>
      <c r="H79" s="28" t="n">
        <v>357.3</v>
      </c>
      <c r="I79" s="29" t="n">
        <v>230.77</v>
      </c>
      <c r="J79" s="29" t="n">
        <f aca="false">ROUND(H79*I79,2)</f>
        <v>82454.12</v>
      </c>
      <c r="K79" s="29" t="n">
        <f aca="false">ROUND(J79*'Основания и цены'!$B$4,2)</f>
        <v>24736.24</v>
      </c>
      <c r="L79" s="29" t="n">
        <v>0</v>
      </c>
      <c r="M79" s="29" t="n">
        <f aca="false">ROUND(H79*L79,2)</f>
        <v>0</v>
      </c>
      <c r="N79" s="29" t="n">
        <v>0</v>
      </c>
      <c r="O79" s="29" t="n">
        <f aca="false">ROUND(H79*N79,2)</f>
        <v>0</v>
      </c>
      <c r="P79" s="29" t="n">
        <v>0</v>
      </c>
      <c r="Q79" s="29" t="n">
        <f aca="false">ROUND(H79*P79,2)</f>
        <v>0</v>
      </c>
      <c r="R79" s="29" t="n">
        <f aca="false">ROUND(J79+K79+M79+O79+Q79,2)</f>
        <v>107190.36</v>
      </c>
      <c r="S79" s="26" t="s">
        <v>59</v>
      </c>
      <c r="T79" s="29" t="n">
        <f aca="false">IF(S79="УЧТЕНО",R79,0)</f>
        <v>107190.36</v>
      </c>
      <c r="U79" s="27" t="s">
        <v>272</v>
      </c>
    </row>
    <row r="80" customFormat="false" ht="30.75" hidden="false" customHeight="true" outlineLevel="0" collapsed="false">
      <c r="A80" s="26" t="n">
        <v>1</v>
      </c>
      <c r="B80" s="26" t="s">
        <v>263</v>
      </c>
      <c r="C80" s="26" t="s">
        <v>273</v>
      </c>
      <c r="D80" s="27" t="s">
        <v>274</v>
      </c>
      <c r="E80" s="28" t="s">
        <v>57</v>
      </c>
      <c r="F80" s="26" t="s">
        <v>57</v>
      </c>
      <c r="G80" s="26" t="s">
        <v>180</v>
      </c>
      <c r="H80" s="28" t="n">
        <v>24</v>
      </c>
      <c r="I80" s="29" t="n">
        <v>461.54</v>
      </c>
      <c r="J80" s="29" t="n">
        <f aca="false">ROUND(H80*I80,2)</f>
        <v>11076.96</v>
      </c>
      <c r="K80" s="29" t="n">
        <f aca="false">ROUND(J80*'Основания и цены'!$B$4,2)</f>
        <v>3323.09</v>
      </c>
      <c r="L80" s="29" t="n">
        <f aca="false">Материалы!G35</f>
        <v>1146</v>
      </c>
      <c r="M80" s="29" t="n">
        <f aca="false">ROUND(H80*L80,2)</f>
        <v>27504</v>
      </c>
      <c r="N80" s="29" t="n">
        <v>0</v>
      </c>
      <c r="O80" s="29" t="n">
        <f aca="false">ROUND(H80*N80,2)</f>
        <v>0</v>
      </c>
      <c r="P80" s="29" t="n">
        <v>0</v>
      </c>
      <c r="Q80" s="29" t="n">
        <f aca="false">ROUND(H80*P80,2)</f>
        <v>0</v>
      </c>
      <c r="R80" s="29" t="n">
        <f aca="false">ROUND(J80+K80+M80+O80+Q80,2)</f>
        <v>41904.05</v>
      </c>
      <c r="S80" s="26" t="s">
        <v>59</v>
      </c>
      <c r="T80" s="29" t="n">
        <f aca="false">IF(S80="УЧТЕНО",R80,0)</f>
        <v>41904.05</v>
      </c>
      <c r="U80" s="27" t="s">
        <v>275</v>
      </c>
    </row>
    <row r="81" customFormat="false" ht="30.75" hidden="false" customHeight="true" outlineLevel="0" collapsed="false">
      <c r="A81" s="26" t="n">
        <v>1</v>
      </c>
      <c r="B81" s="26" t="s">
        <v>263</v>
      </c>
      <c r="C81" s="26" t="s">
        <v>276</v>
      </c>
      <c r="D81" s="27" t="s">
        <v>277</v>
      </c>
      <c r="E81" s="28" t="s">
        <v>57</v>
      </c>
      <c r="F81" s="26" t="s">
        <v>57</v>
      </c>
      <c r="G81" s="26" t="s">
        <v>80</v>
      </c>
      <c r="H81" s="28" t="n">
        <v>420</v>
      </c>
      <c r="I81" s="29" t="n">
        <v>0</v>
      </c>
      <c r="J81" s="29" t="n">
        <f aca="false">ROUND(H81*I81,2)</f>
        <v>0</v>
      </c>
      <c r="K81" s="29" t="n">
        <f aca="false">ROUND(J81*'Основания и цены'!$B$4,2)</f>
        <v>0</v>
      </c>
      <c r="L81" s="29" t="n">
        <f aca="false">Материалы!G36</f>
        <v>63.6</v>
      </c>
      <c r="M81" s="29" t="n">
        <f aca="false">ROUND(H81*L81,2)</f>
        <v>26712</v>
      </c>
      <c r="N81" s="29" t="n">
        <v>0</v>
      </c>
      <c r="O81" s="29" t="n">
        <f aca="false">ROUND(H81*N81,2)</f>
        <v>0</v>
      </c>
      <c r="P81" s="29" t="n">
        <v>0</v>
      </c>
      <c r="Q81" s="29" t="n">
        <f aca="false">ROUND(H81*P81,2)</f>
        <v>0</v>
      </c>
      <c r="R81" s="29" t="n">
        <f aca="false">ROUND(J81+K81+M81+O81+Q81,2)</f>
        <v>26712</v>
      </c>
      <c r="S81" s="26" t="s">
        <v>59</v>
      </c>
      <c r="T81" s="29" t="n">
        <f aca="false">IF(S81="УЧТЕНО",R81,0)</f>
        <v>26712</v>
      </c>
      <c r="U81" s="27" t="s">
        <v>278</v>
      </c>
    </row>
    <row r="82" customFormat="false" ht="21.75" hidden="false" customHeight="true" outlineLevel="0" collapsed="false">
      <c r="A82" s="26" t="n">
        <v>1</v>
      </c>
      <c r="B82" s="26" t="s">
        <v>263</v>
      </c>
      <c r="C82" s="26" t="s">
        <v>279</v>
      </c>
      <c r="D82" s="27" t="s">
        <v>280</v>
      </c>
      <c r="E82" s="28" t="s">
        <v>57</v>
      </c>
      <c r="F82" s="26" t="s">
        <v>57</v>
      </c>
      <c r="G82" s="26" t="s">
        <v>116</v>
      </c>
      <c r="H82" s="28" t="n">
        <v>65.7</v>
      </c>
      <c r="I82" s="29" t="n">
        <v>0</v>
      </c>
      <c r="J82" s="29" t="n">
        <f aca="false">ROUND(H82*I82,2)</f>
        <v>0</v>
      </c>
      <c r="K82" s="29" t="n">
        <f aca="false">ROUND(J82*'Основания и цены'!$B$4,2)</f>
        <v>0</v>
      </c>
      <c r="L82" s="29" t="n">
        <f aca="false">Материалы!G37</f>
        <v>720</v>
      </c>
      <c r="M82" s="29" t="n">
        <f aca="false">ROUND(H82*L82,2)</f>
        <v>47304</v>
      </c>
      <c r="N82" s="29" t="n">
        <v>0</v>
      </c>
      <c r="O82" s="29" t="n">
        <f aca="false">ROUND(H82*N82,2)</f>
        <v>0</v>
      </c>
      <c r="P82" s="29" t="n">
        <v>0</v>
      </c>
      <c r="Q82" s="29" t="n">
        <f aca="false">ROUND(H82*P82,2)</f>
        <v>0</v>
      </c>
      <c r="R82" s="29" t="n">
        <f aca="false">ROUND(J82+K82+M82+O82+Q82,2)</f>
        <v>47304</v>
      </c>
      <c r="S82" s="26" t="s">
        <v>59</v>
      </c>
      <c r="T82" s="29" t="n">
        <f aca="false">IF(S82="УЧТЕНО",R82,0)</f>
        <v>47304</v>
      </c>
      <c r="U82" s="27" t="s">
        <v>281</v>
      </c>
    </row>
    <row r="83" customFormat="false" ht="15" hidden="false" customHeight="true" outlineLevel="0" collapsed="false">
      <c r="A83" s="30"/>
      <c r="B83" s="30"/>
      <c r="C83" s="30"/>
      <c r="D83" s="30" t="s">
        <v>282</v>
      </c>
      <c r="E83" s="30"/>
      <c r="F83" s="30"/>
      <c r="G83" s="30"/>
      <c r="H83" s="30"/>
      <c r="I83" s="30"/>
      <c r="J83" s="31" t="n">
        <f aca="false">ROUND(SUMIF($S$77:$S$82,"УЧТЕНО",$J$77:$J$82),2)</f>
        <v>177509.87</v>
      </c>
      <c r="K83" s="31" t="n">
        <f aca="false">ROUND(SUMIF($S$77:$S$82,"УЧТЕНО",$K$77:$K$82),2)</f>
        <v>53252.97</v>
      </c>
      <c r="L83" s="30"/>
      <c r="M83" s="31" t="n">
        <f aca="false">ROUND(SUMIF($S$77:$S$82,"УЧТЕНО",$M$77:$M$82),2)</f>
        <v>159150</v>
      </c>
      <c r="N83" s="30"/>
      <c r="O83" s="31" t="n">
        <f aca="false">ROUND(SUMIF($S$77:$S$82,"УЧТЕНО",$O$77:$O$82),2)</f>
        <v>0</v>
      </c>
      <c r="P83" s="30"/>
      <c r="Q83" s="31" t="n">
        <f aca="false">ROUND(SUMIF($S$77:$S$82,"УЧТЕНО",$Q$77:$Q$82),2)</f>
        <v>0</v>
      </c>
      <c r="R83" s="31" t="n">
        <f aca="false">ROUND(J83+K83+M83+O83+Q83,2)</f>
        <v>389912.84</v>
      </c>
      <c r="S83" s="30" t="s">
        <v>72</v>
      </c>
      <c r="T83" s="31" t="n">
        <f aca="false">R83</f>
        <v>389912.84</v>
      </c>
      <c r="U83" s="30"/>
    </row>
    <row r="84" customFormat="false" ht="15" hidden="false" customHeight="true" outlineLevel="0" collapsed="false">
      <c r="A84" s="36"/>
      <c r="B84" s="36"/>
      <c r="C84" s="36"/>
      <c r="D84" s="36" t="s">
        <v>283</v>
      </c>
      <c r="E84" s="36"/>
      <c r="F84" s="36"/>
      <c r="G84" s="36"/>
      <c r="H84" s="36"/>
      <c r="I84" s="36"/>
      <c r="J84" s="37" t="n">
        <f aca="false">ROUND(SUM(J11,J59,J75,J83),2)</f>
        <v>1541081.61</v>
      </c>
      <c r="K84" s="37" t="n">
        <f aca="false">ROUND(SUM(K11,K59,K75,K83),2)</f>
        <v>462324.53</v>
      </c>
      <c r="L84" s="36"/>
      <c r="M84" s="37" t="n">
        <f aca="false">ROUND(SUM(M11,M59,M75,M83),2)</f>
        <v>1971397.1</v>
      </c>
      <c r="N84" s="36"/>
      <c r="O84" s="37" t="n">
        <f aca="false">ROUND(SUM(O11,O59,O75,O83),2)</f>
        <v>197280</v>
      </c>
      <c r="P84" s="36"/>
      <c r="Q84" s="37" t="n">
        <f aca="false">ROUND(SUM(Q11,Q59,Q75,Q83),2)</f>
        <v>302030.4</v>
      </c>
      <c r="R84" s="37" t="n">
        <f aca="false">ROUND(SUM(R11,R59,R75,R83),2)</f>
        <v>4474113.64</v>
      </c>
      <c r="S84" s="36" t="s">
        <v>284</v>
      </c>
      <c r="T84" s="37" t="n">
        <f aca="false">ROUND(SUM(T11,T59,T75,T83),2)</f>
        <v>4474113.64</v>
      </c>
      <c r="U84" s="36"/>
    </row>
    <row r="85" customFormat="false" ht="25.5" hidden="false" customHeight="true" outlineLevel="0" collapsed="false">
      <c r="A85" s="22" t="s">
        <v>14</v>
      </c>
      <c r="B85" s="22"/>
      <c r="C85" s="22"/>
      <c r="D85" s="22"/>
      <c r="E85" s="22"/>
      <c r="F85" s="22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</row>
    <row r="86" customFormat="false" ht="42" hidden="false" customHeight="true" outlineLevel="0" collapsed="false">
      <c r="A86" s="24" t="s">
        <v>285</v>
      </c>
      <c r="B86" s="24"/>
      <c r="C86" s="24"/>
      <c r="D86" s="24"/>
      <c r="E86" s="24"/>
      <c r="F86" s="24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</row>
    <row r="87" customFormat="false" ht="30.75" hidden="false" customHeight="true" outlineLevel="0" collapsed="false">
      <c r="A87" s="26" t="n">
        <v>2</v>
      </c>
      <c r="B87" s="26" t="s">
        <v>54</v>
      </c>
      <c r="C87" s="26" t="s">
        <v>55</v>
      </c>
      <c r="D87" s="27" t="s">
        <v>286</v>
      </c>
      <c r="E87" s="28" t="s">
        <v>57</v>
      </c>
      <c r="F87" s="26" t="s">
        <v>57</v>
      </c>
      <c r="G87" s="26" t="s">
        <v>287</v>
      </c>
      <c r="H87" s="28" t="n">
        <v>183</v>
      </c>
      <c r="I87" s="29" t="n">
        <v>138.46</v>
      </c>
      <c r="J87" s="29" t="n">
        <f aca="false">ROUND(H87*I87,2)</f>
        <v>25338.18</v>
      </c>
      <c r="K87" s="29" t="n">
        <f aca="false">ROUND(J87*'Основания и цены'!$B$4,2)</f>
        <v>7601.45</v>
      </c>
      <c r="L87" s="29" t="n">
        <v>0</v>
      </c>
      <c r="M87" s="29" t="n">
        <f aca="false">ROUND(H87*L87,2)</f>
        <v>0</v>
      </c>
      <c r="N87" s="29" t="n">
        <v>0</v>
      </c>
      <c r="O87" s="29" t="n">
        <f aca="false">ROUND(H87*N87,2)</f>
        <v>0</v>
      </c>
      <c r="P87" s="29" t="n">
        <v>0</v>
      </c>
      <c r="Q87" s="29" t="n">
        <f aca="false">ROUND(H87*P87,2)</f>
        <v>0</v>
      </c>
      <c r="R87" s="29" t="n">
        <f aca="false">ROUND(J87+K87+M87+O87+Q87,2)</f>
        <v>32939.63</v>
      </c>
      <c r="S87" s="26" t="s">
        <v>59</v>
      </c>
      <c r="T87" s="29" t="n">
        <f aca="false">IF(S87="УЧТЕНО",R87,0)</f>
        <v>32939.63</v>
      </c>
      <c r="U87" s="27" t="s">
        <v>288</v>
      </c>
    </row>
    <row r="88" customFormat="false" ht="21.75" hidden="false" customHeight="true" outlineLevel="0" collapsed="false">
      <c r="A88" s="26" t="n">
        <v>2</v>
      </c>
      <c r="B88" s="26" t="s">
        <v>54</v>
      </c>
      <c r="C88" s="26" t="s">
        <v>61</v>
      </c>
      <c r="D88" s="27" t="s">
        <v>289</v>
      </c>
      <c r="E88" s="28" t="s">
        <v>57</v>
      </c>
      <c r="F88" s="26" t="s">
        <v>57</v>
      </c>
      <c r="G88" s="26" t="s">
        <v>180</v>
      </c>
      <c r="H88" s="28" t="n">
        <v>185</v>
      </c>
      <c r="I88" s="29" t="n">
        <v>22.15</v>
      </c>
      <c r="J88" s="29" t="n">
        <f aca="false">ROUND(H88*I88,2)</f>
        <v>4097.75</v>
      </c>
      <c r="K88" s="29" t="n">
        <f aca="false">ROUND(J88*'Основания и цены'!$B$4,2)</f>
        <v>1229.33</v>
      </c>
      <c r="L88" s="29" t="n">
        <v>0</v>
      </c>
      <c r="M88" s="29" t="n">
        <f aca="false">ROUND(H88*L88,2)</f>
        <v>0</v>
      </c>
      <c r="N88" s="29" t="n">
        <v>0</v>
      </c>
      <c r="O88" s="29" t="n">
        <f aca="false">ROUND(H88*N88,2)</f>
        <v>0</v>
      </c>
      <c r="P88" s="29" t="n">
        <v>0</v>
      </c>
      <c r="Q88" s="29" t="n">
        <f aca="false">ROUND(H88*P88,2)</f>
        <v>0</v>
      </c>
      <c r="R88" s="29" t="n">
        <f aca="false">ROUND(J88+K88+M88+O88+Q88,2)</f>
        <v>5327.08</v>
      </c>
      <c r="S88" s="26" t="s">
        <v>59</v>
      </c>
      <c r="T88" s="29" t="n">
        <f aca="false">IF(S88="УЧТЕНО",R88,0)</f>
        <v>5327.08</v>
      </c>
      <c r="U88" s="27" t="s">
        <v>290</v>
      </c>
    </row>
    <row r="89" customFormat="false" ht="21.75" hidden="false" customHeight="true" outlineLevel="0" collapsed="false">
      <c r="A89" s="26" t="n">
        <v>2</v>
      </c>
      <c r="B89" s="26" t="s">
        <v>54</v>
      </c>
      <c r="C89" s="26" t="s">
        <v>65</v>
      </c>
      <c r="D89" s="27" t="s">
        <v>291</v>
      </c>
      <c r="E89" s="28" t="s">
        <v>57</v>
      </c>
      <c r="F89" s="26" t="s">
        <v>57</v>
      </c>
      <c r="G89" s="26" t="s">
        <v>180</v>
      </c>
      <c r="H89" s="28" t="n">
        <v>4310</v>
      </c>
      <c r="I89" s="29" t="n">
        <v>18.46</v>
      </c>
      <c r="J89" s="29" t="n">
        <f aca="false">ROUND(H89*I89,2)</f>
        <v>79562.6</v>
      </c>
      <c r="K89" s="29" t="n">
        <f aca="false">ROUND(J89*'Основания и цены'!$B$4,2)</f>
        <v>23868.78</v>
      </c>
      <c r="L89" s="29" t="n">
        <v>0</v>
      </c>
      <c r="M89" s="29" t="n">
        <f aca="false">ROUND(H89*L89,2)</f>
        <v>0</v>
      </c>
      <c r="N89" s="29" t="n">
        <v>0</v>
      </c>
      <c r="O89" s="29" t="n">
        <f aca="false">ROUND(H89*N89,2)</f>
        <v>0</v>
      </c>
      <c r="P89" s="29" t="n">
        <v>0</v>
      </c>
      <c r="Q89" s="29" t="n">
        <f aca="false">ROUND(H89*P89,2)</f>
        <v>0</v>
      </c>
      <c r="R89" s="29" t="n">
        <f aca="false">ROUND(J89+K89+M89+O89+Q89,2)</f>
        <v>103431.38</v>
      </c>
      <c r="S89" s="26" t="s">
        <v>59</v>
      </c>
      <c r="T89" s="29" t="n">
        <f aca="false">IF(S89="УЧТЕНО",R89,0)</f>
        <v>103431.38</v>
      </c>
      <c r="U89" s="27" t="s">
        <v>292</v>
      </c>
    </row>
    <row r="90" customFormat="false" ht="21.75" hidden="false" customHeight="true" outlineLevel="0" collapsed="false">
      <c r="A90" s="26" t="n">
        <v>2</v>
      </c>
      <c r="B90" s="26" t="s">
        <v>54</v>
      </c>
      <c r="C90" s="26" t="s">
        <v>68</v>
      </c>
      <c r="D90" s="27" t="s">
        <v>293</v>
      </c>
      <c r="E90" s="28" t="s">
        <v>57</v>
      </c>
      <c r="F90" s="26" t="s">
        <v>57</v>
      </c>
      <c r="G90" s="26" t="s">
        <v>180</v>
      </c>
      <c r="H90" s="28" t="n">
        <v>1836</v>
      </c>
      <c r="I90" s="29" t="n">
        <v>14.77</v>
      </c>
      <c r="J90" s="29" t="n">
        <f aca="false">ROUND(H90*I90,2)</f>
        <v>27117.72</v>
      </c>
      <c r="K90" s="29" t="n">
        <f aca="false">ROUND(J90*'Основания и цены'!$B$4,2)</f>
        <v>8135.32</v>
      </c>
      <c r="L90" s="29" t="n">
        <v>0</v>
      </c>
      <c r="M90" s="29" t="n">
        <f aca="false">ROUND(H90*L90,2)</f>
        <v>0</v>
      </c>
      <c r="N90" s="29" t="n">
        <v>0</v>
      </c>
      <c r="O90" s="29" t="n">
        <f aca="false">ROUND(H90*N90,2)</f>
        <v>0</v>
      </c>
      <c r="P90" s="29" t="n">
        <v>0</v>
      </c>
      <c r="Q90" s="29" t="n">
        <f aca="false">ROUND(H90*P90,2)</f>
        <v>0</v>
      </c>
      <c r="R90" s="29" t="n">
        <f aca="false">ROUND(J90+K90+M90+O90+Q90,2)</f>
        <v>35253.04</v>
      </c>
      <c r="S90" s="26" t="s">
        <v>59</v>
      </c>
      <c r="T90" s="29" t="n">
        <f aca="false">IF(S90="УЧТЕНО",R90,0)</f>
        <v>35253.04</v>
      </c>
      <c r="U90" s="27" t="s">
        <v>294</v>
      </c>
    </row>
    <row r="91" customFormat="false" ht="21.75" hidden="false" customHeight="true" outlineLevel="0" collapsed="false">
      <c r="A91" s="26" t="n">
        <v>2</v>
      </c>
      <c r="B91" s="26" t="s">
        <v>54</v>
      </c>
      <c r="C91" s="26" t="s">
        <v>295</v>
      </c>
      <c r="D91" s="27" t="s">
        <v>296</v>
      </c>
      <c r="E91" s="28" t="s">
        <v>57</v>
      </c>
      <c r="F91" s="26" t="s">
        <v>57</v>
      </c>
      <c r="G91" s="26" t="s">
        <v>180</v>
      </c>
      <c r="H91" s="28" t="n">
        <v>3114</v>
      </c>
      <c r="I91" s="29" t="n">
        <v>73.85</v>
      </c>
      <c r="J91" s="29" t="n">
        <f aca="false">ROUND(H91*I91,2)</f>
        <v>229968.9</v>
      </c>
      <c r="K91" s="29" t="n">
        <f aca="false">ROUND(J91*'Основания и цены'!$B$4,2)</f>
        <v>68990.67</v>
      </c>
      <c r="L91" s="29" t="n">
        <v>0</v>
      </c>
      <c r="M91" s="29" t="n">
        <f aca="false">ROUND(H91*L91,2)</f>
        <v>0</v>
      </c>
      <c r="N91" s="29" t="n">
        <v>0</v>
      </c>
      <c r="O91" s="29" t="n">
        <f aca="false">ROUND(H91*N91,2)</f>
        <v>0</v>
      </c>
      <c r="P91" s="29" t="n">
        <v>0</v>
      </c>
      <c r="Q91" s="29" t="n">
        <f aca="false">ROUND(H91*P91,2)</f>
        <v>0</v>
      </c>
      <c r="R91" s="29" t="n">
        <f aca="false">ROUND(J91+K91+M91+O91+Q91,2)</f>
        <v>298959.57</v>
      </c>
      <c r="S91" s="26" t="s">
        <v>59</v>
      </c>
      <c r="T91" s="29" t="n">
        <f aca="false">IF(S91="УЧТЕНО",R91,0)</f>
        <v>298959.57</v>
      </c>
      <c r="U91" s="27" t="s">
        <v>297</v>
      </c>
    </row>
    <row r="92" customFormat="false" ht="21.75" hidden="false" customHeight="true" outlineLevel="0" collapsed="false">
      <c r="A92" s="26" t="n">
        <v>2</v>
      </c>
      <c r="B92" s="26" t="s">
        <v>54</v>
      </c>
      <c r="C92" s="26" t="s">
        <v>298</v>
      </c>
      <c r="D92" s="27" t="s">
        <v>299</v>
      </c>
      <c r="E92" s="28" t="s">
        <v>57</v>
      </c>
      <c r="F92" s="26" t="s">
        <v>57</v>
      </c>
      <c r="G92" s="26" t="s">
        <v>180</v>
      </c>
      <c r="H92" s="28" t="n">
        <v>1528</v>
      </c>
      <c r="I92" s="29" t="n">
        <v>110.77</v>
      </c>
      <c r="J92" s="29" t="n">
        <f aca="false">ROUND(H92*I92,2)</f>
        <v>169256.56</v>
      </c>
      <c r="K92" s="29" t="n">
        <f aca="false">ROUND(J92*'Основания и цены'!$B$4,2)</f>
        <v>50776.97</v>
      </c>
      <c r="L92" s="29" t="n">
        <v>0</v>
      </c>
      <c r="M92" s="29" t="n">
        <f aca="false">ROUND(H92*L92,2)</f>
        <v>0</v>
      </c>
      <c r="N92" s="29" t="n">
        <v>0</v>
      </c>
      <c r="O92" s="29" t="n">
        <f aca="false">ROUND(H92*N92,2)</f>
        <v>0</v>
      </c>
      <c r="P92" s="29" t="n">
        <v>0</v>
      </c>
      <c r="Q92" s="29" t="n">
        <f aca="false">ROUND(H92*P92,2)</f>
        <v>0</v>
      </c>
      <c r="R92" s="29" t="n">
        <f aca="false">ROUND(J92+K92+M92+O92+Q92,2)</f>
        <v>220033.53</v>
      </c>
      <c r="S92" s="26" t="s">
        <v>59</v>
      </c>
      <c r="T92" s="29" t="n">
        <f aca="false">IF(S92="УЧТЕНО",R92,0)</f>
        <v>220033.53</v>
      </c>
      <c r="U92" s="27" t="s">
        <v>300</v>
      </c>
    </row>
    <row r="93" customFormat="false" ht="21.75" hidden="false" customHeight="true" outlineLevel="0" collapsed="false">
      <c r="A93" s="26" t="n">
        <v>2</v>
      </c>
      <c r="B93" s="26" t="s">
        <v>54</v>
      </c>
      <c r="C93" s="26" t="s">
        <v>301</v>
      </c>
      <c r="D93" s="27" t="s">
        <v>302</v>
      </c>
      <c r="E93" s="28" t="s">
        <v>57</v>
      </c>
      <c r="F93" s="26" t="s">
        <v>57</v>
      </c>
      <c r="G93" s="26" t="s">
        <v>180</v>
      </c>
      <c r="H93" s="28" t="n">
        <v>2021</v>
      </c>
      <c r="I93" s="29" t="n">
        <v>123.08</v>
      </c>
      <c r="J93" s="29" t="n">
        <f aca="false">ROUND(H93*I93,2)</f>
        <v>248744.68</v>
      </c>
      <c r="K93" s="29" t="n">
        <f aca="false">ROUND(J93*'Основания и цены'!$B$4,2)</f>
        <v>74623.4</v>
      </c>
      <c r="L93" s="29" t="n">
        <v>0</v>
      </c>
      <c r="M93" s="29" t="n">
        <f aca="false">ROUND(H93*L93,2)</f>
        <v>0</v>
      </c>
      <c r="N93" s="29" t="n">
        <v>0</v>
      </c>
      <c r="O93" s="29" t="n">
        <f aca="false">ROUND(H93*N93,2)</f>
        <v>0</v>
      </c>
      <c r="P93" s="29" t="n">
        <v>0</v>
      </c>
      <c r="Q93" s="29" t="n">
        <f aca="false">ROUND(H93*P93,2)</f>
        <v>0</v>
      </c>
      <c r="R93" s="29" t="n">
        <f aca="false">ROUND(J93+K93+M93+O93+Q93,2)</f>
        <v>323368.08</v>
      </c>
      <c r="S93" s="26" t="s">
        <v>59</v>
      </c>
      <c r="T93" s="29" t="n">
        <f aca="false">IF(S93="УЧТЕНО",R93,0)</f>
        <v>323368.08</v>
      </c>
      <c r="U93" s="27" t="s">
        <v>303</v>
      </c>
    </row>
    <row r="94" customFormat="false" ht="21.75" hidden="false" customHeight="true" outlineLevel="0" collapsed="false">
      <c r="A94" s="26" t="n">
        <v>2</v>
      </c>
      <c r="B94" s="26" t="s">
        <v>54</v>
      </c>
      <c r="C94" s="26" t="s">
        <v>304</v>
      </c>
      <c r="D94" s="27" t="s">
        <v>305</v>
      </c>
      <c r="E94" s="28" t="s">
        <v>57</v>
      </c>
      <c r="F94" s="26" t="s">
        <v>57</v>
      </c>
      <c r="G94" s="26" t="s">
        <v>87</v>
      </c>
      <c r="H94" s="28" t="n">
        <v>110</v>
      </c>
      <c r="I94" s="29" t="n">
        <v>830.77</v>
      </c>
      <c r="J94" s="29" t="n">
        <f aca="false">ROUND(H94*I94,2)</f>
        <v>91384.7</v>
      </c>
      <c r="K94" s="29" t="n">
        <f aca="false">ROUND(J94*'Основания и цены'!$B$4,2)</f>
        <v>27415.41</v>
      </c>
      <c r="L94" s="29" t="n">
        <v>0</v>
      </c>
      <c r="M94" s="29" t="n">
        <f aca="false">ROUND(H94*L94,2)</f>
        <v>0</v>
      </c>
      <c r="N94" s="29" t="n">
        <v>0</v>
      </c>
      <c r="O94" s="29" t="n">
        <f aca="false">ROUND(H94*N94,2)</f>
        <v>0</v>
      </c>
      <c r="P94" s="29" t="n">
        <v>0</v>
      </c>
      <c r="Q94" s="29" t="n">
        <f aca="false">ROUND(H94*P94,2)</f>
        <v>0</v>
      </c>
      <c r="R94" s="29" t="n">
        <f aca="false">ROUND(J94+K94+M94+O94+Q94,2)</f>
        <v>118800.11</v>
      </c>
      <c r="S94" s="26" t="s">
        <v>59</v>
      </c>
      <c r="T94" s="29" t="n">
        <f aca="false">IF(S94="УЧТЕНО",R94,0)</f>
        <v>118800.11</v>
      </c>
      <c r="U94" s="27" t="s">
        <v>306</v>
      </c>
    </row>
    <row r="95" customFormat="false" ht="21.75" hidden="false" customHeight="true" outlineLevel="0" collapsed="false">
      <c r="A95" s="26" t="n">
        <v>2</v>
      </c>
      <c r="B95" s="26" t="s">
        <v>54</v>
      </c>
      <c r="C95" s="26" t="s">
        <v>307</v>
      </c>
      <c r="D95" s="27" t="s">
        <v>308</v>
      </c>
      <c r="E95" s="28" t="s">
        <v>57</v>
      </c>
      <c r="F95" s="26" t="s">
        <v>57</v>
      </c>
      <c r="G95" s="26" t="s">
        <v>180</v>
      </c>
      <c r="H95" s="28" t="n">
        <v>750</v>
      </c>
      <c r="I95" s="29" t="n">
        <v>73.85</v>
      </c>
      <c r="J95" s="29" t="n">
        <f aca="false">ROUND(H95*I95,2)</f>
        <v>55387.5</v>
      </c>
      <c r="K95" s="29" t="n">
        <f aca="false">ROUND(J95*'Основания и цены'!$B$4,2)</f>
        <v>16616.25</v>
      </c>
      <c r="L95" s="29" t="n">
        <v>0</v>
      </c>
      <c r="M95" s="29" t="n">
        <f aca="false">ROUND(H95*L95,2)</f>
        <v>0</v>
      </c>
      <c r="N95" s="29" t="n">
        <v>0</v>
      </c>
      <c r="O95" s="29" t="n">
        <f aca="false">ROUND(H95*N95,2)</f>
        <v>0</v>
      </c>
      <c r="P95" s="29" t="n">
        <v>0</v>
      </c>
      <c r="Q95" s="29" t="n">
        <f aca="false">ROUND(H95*P95,2)</f>
        <v>0</v>
      </c>
      <c r="R95" s="29" t="n">
        <f aca="false">ROUND(J95+K95+M95+O95+Q95,2)</f>
        <v>72003.75</v>
      </c>
      <c r="S95" s="26" t="s">
        <v>59</v>
      </c>
      <c r="T95" s="29" t="n">
        <f aca="false">IF(S95="УЧТЕНО",R95,0)</f>
        <v>72003.75</v>
      </c>
      <c r="U95" s="27" t="s">
        <v>309</v>
      </c>
    </row>
    <row r="96" customFormat="false" ht="21.75" hidden="false" customHeight="true" outlineLevel="0" collapsed="false">
      <c r="A96" s="26" t="n">
        <v>2</v>
      </c>
      <c r="B96" s="26" t="s">
        <v>54</v>
      </c>
      <c r="C96" s="26" t="s">
        <v>310</v>
      </c>
      <c r="D96" s="27" t="s">
        <v>311</v>
      </c>
      <c r="E96" s="28" t="s">
        <v>57</v>
      </c>
      <c r="F96" s="26" t="s">
        <v>57</v>
      </c>
      <c r="G96" s="26" t="s">
        <v>180</v>
      </c>
      <c r="H96" s="28" t="n">
        <v>3697</v>
      </c>
      <c r="I96" s="29" t="n">
        <v>123.08</v>
      </c>
      <c r="J96" s="29" t="n">
        <f aca="false">ROUND(H96*I96,2)</f>
        <v>455026.76</v>
      </c>
      <c r="K96" s="29" t="n">
        <f aca="false">ROUND(J96*'Основания и цены'!$B$4,2)</f>
        <v>136508.03</v>
      </c>
      <c r="L96" s="29" t="n">
        <v>0</v>
      </c>
      <c r="M96" s="29" t="n">
        <f aca="false">ROUND(H96*L96,2)</f>
        <v>0</v>
      </c>
      <c r="N96" s="29" t="n">
        <v>0</v>
      </c>
      <c r="O96" s="29" t="n">
        <f aca="false">ROUND(H96*N96,2)</f>
        <v>0</v>
      </c>
      <c r="P96" s="29" t="n">
        <v>0</v>
      </c>
      <c r="Q96" s="29" t="n">
        <f aca="false">ROUND(H96*P96,2)</f>
        <v>0</v>
      </c>
      <c r="R96" s="29" t="n">
        <f aca="false">ROUND(J96+K96+M96+O96+Q96,2)</f>
        <v>591534.79</v>
      </c>
      <c r="S96" s="26" t="s">
        <v>59</v>
      </c>
      <c r="T96" s="29" t="n">
        <f aca="false">IF(S96="УЧТЕНО",R96,0)</f>
        <v>591534.79</v>
      </c>
      <c r="U96" s="27" t="s">
        <v>312</v>
      </c>
    </row>
    <row r="97" customFormat="false" ht="21.75" hidden="false" customHeight="true" outlineLevel="0" collapsed="false">
      <c r="A97" s="26" t="n">
        <v>2</v>
      </c>
      <c r="B97" s="26" t="s">
        <v>54</v>
      </c>
      <c r="C97" s="26" t="s">
        <v>313</v>
      </c>
      <c r="D97" s="27" t="s">
        <v>314</v>
      </c>
      <c r="E97" s="28" t="s">
        <v>57</v>
      </c>
      <c r="F97" s="26" t="s">
        <v>57</v>
      </c>
      <c r="G97" s="26" t="s">
        <v>180</v>
      </c>
      <c r="H97" s="28" t="n">
        <v>731</v>
      </c>
      <c r="I97" s="29" t="n">
        <v>18.46</v>
      </c>
      <c r="J97" s="29" t="n">
        <f aca="false">ROUND(H97*I97,2)</f>
        <v>13494.26</v>
      </c>
      <c r="K97" s="29" t="n">
        <f aca="false">ROUND(J97*'Основания и цены'!$B$4,2)</f>
        <v>4048.28</v>
      </c>
      <c r="L97" s="29" t="n">
        <v>0</v>
      </c>
      <c r="M97" s="29" t="n">
        <f aca="false">ROUND(H97*L97,2)</f>
        <v>0</v>
      </c>
      <c r="N97" s="29" t="n">
        <v>0</v>
      </c>
      <c r="O97" s="29" t="n">
        <f aca="false">ROUND(H97*N97,2)</f>
        <v>0</v>
      </c>
      <c r="P97" s="29" t="n">
        <v>0</v>
      </c>
      <c r="Q97" s="29" t="n">
        <f aca="false">ROUND(H97*P97,2)</f>
        <v>0</v>
      </c>
      <c r="R97" s="29" t="n">
        <f aca="false">ROUND(J97+K97+M97+O97+Q97,2)</f>
        <v>17542.54</v>
      </c>
      <c r="S97" s="26" t="s">
        <v>59</v>
      </c>
      <c r="T97" s="29" t="n">
        <f aca="false">IF(S97="УЧТЕНО",R97,0)</f>
        <v>17542.54</v>
      </c>
      <c r="U97" s="27" t="s">
        <v>315</v>
      </c>
    </row>
    <row r="98" customFormat="false" ht="21.75" hidden="false" customHeight="true" outlineLevel="0" collapsed="false">
      <c r="A98" s="26" t="n">
        <v>2</v>
      </c>
      <c r="B98" s="26" t="s">
        <v>54</v>
      </c>
      <c r="C98" s="26" t="s">
        <v>316</v>
      </c>
      <c r="D98" s="27" t="s">
        <v>317</v>
      </c>
      <c r="E98" s="28" t="s">
        <v>57</v>
      </c>
      <c r="F98" s="26" t="s">
        <v>57</v>
      </c>
      <c r="G98" s="26" t="s">
        <v>180</v>
      </c>
      <c r="H98" s="28" t="n">
        <v>1739</v>
      </c>
      <c r="I98" s="29" t="n">
        <v>14.77</v>
      </c>
      <c r="J98" s="29" t="n">
        <f aca="false">ROUND(H98*I98,2)</f>
        <v>25685.03</v>
      </c>
      <c r="K98" s="29" t="n">
        <f aca="false">ROUND(J98*'Основания и цены'!$B$4,2)</f>
        <v>7705.51</v>
      </c>
      <c r="L98" s="29" t="n">
        <v>0</v>
      </c>
      <c r="M98" s="29" t="n">
        <f aca="false">ROUND(H98*L98,2)</f>
        <v>0</v>
      </c>
      <c r="N98" s="29" t="n">
        <v>0</v>
      </c>
      <c r="O98" s="29" t="n">
        <f aca="false">ROUND(H98*N98,2)</f>
        <v>0</v>
      </c>
      <c r="P98" s="29" t="n">
        <v>0</v>
      </c>
      <c r="Q98" s="29" t="n">
        <f aca="false">ROUND(H98*P98,2)</f>
        <v>0</v>
      </c>
      <c r="R98" s="29" t="n">
        <f aca="false">ROUND(J98+K98+M98+O98+Q98,2)</f>
        <v>33390.54</v>
      </c>
      <c r="S98" s="26" t="s">
        <v>59</v>
      </c>
      <c r="T98" s="29" t="n">
        <f aca="false">IF(S98="УЧТЕНО",R98,0)</f>
        <v>33390.54</v>
      </c>
      <c r="U98" s="27" t="s">
        <v>318</v>
      </c>
    </row>
    <row r="99" customFormat="false" ht="21.75" hidden="false" customHeight="true" outlineLevel="0" collapsed="false">
      <c r="A99" s="26" t="n">
        <v>2</v>
      </c>
      <c r="B99" s="26" t="s">
        <v>54</v>
      </c>
      <c r="C99" s="26" t="s">
        <v>319</v>
      </c>
      <c r="D99" s="27" t="s">
        <v>320</v>
      </c>
      <c r="E99" s="28" t="s">
        <v>57</v>
      </c>
      <c r="F99" s="26" t="s">
        <v>57</v>
      </c>
      <c r="G99" s="26" t="s">
        <v>180</v>
      </c>
      <c r="H99" s="28" t="n">
        <v>1416</v>
      </c>
      <c r="I99" s="29" t="n">
        <v>22.15</v>
      </c>
      <c r="J99" s="29" t="n">
        <f aca="false">ROUND(H99*I99,2)</f>
        <v>31364.4</v>
      </c>
      <c r="K99" s="29" t="n">
        <f aca="false">ROUND(J99*'Основания и цены'!$B$4,2)</f>
        <v>9409.32</v>
      </c>
      <c r="L99" s="29" t="n">
        <v>0</v>
      </c>
      <c r="M99" s="29" t="n">
        <f aca="false">ROUND(H99*L99,2)</f>
        <v>0</v>
      </c>
      <c r="N99" s="29" t="n">
        <v>0</v>
      </c>
      <c r="O99" s="29" t="n">
        <f aca="false">ROUND(H99*N99,2)</f>
        <v>0</v>
      </c>
      <c r="P99" s="29" t="n">
        <v>0</v>
      </c>
      <c r="Q99" s="29" t="n">
        <f aca="false">ROUND(H99*P99,2)</f>
        <v>0</v>
      </c>
      <c r="R99" s="29" t="n">
        <f aca="false">ROUND(J99+K99+M99+O99+Q99,2)</f>
        <v>40773.72</v>
      </c>
      <c r="S99" s="26" t="s">
        <v>59</v>
      </c>
      <c r="T99" s="29" t="n">
        <f aca="false">IF(S99="УЧТЕНО",R99,0)</f>
        <v>40773.72</v>
      </c>
      <c r="U99" s="27" t="s">
        <v>321</v>
      </c>
    </row>
    <row r="100" customFormat="false" ht="30.75" hidden="false" customHeight="true" outlineLevel="0" collapsed="false">
      <c r="A100" s="26" t="n">
        <v>2</v>
      </c>
      <c r="B100" s="26" t="s">
        <v>54</v>
      </c>
      <c r="C100" s="26" t="s">
        <v>322</v>
      </c>
      <c r="D100" s="27" t="s">
        <v>323</v>
      </c>
      <c r="E100" s="28" t="s">
        <v>57</v>
      </c>
      <c r="F100" s="26" t="s">
        <v>57</v>
      </c>
      <c r="G100" s="26" t="s">
        <v>80</v>
      </c>
      <c r="H100" s="28" t="n">
        <v>600</v>
      </c>
      <c r="I100" s="29" t="n">
        <v>129.23</v>
      </c>
      <c r="J100" s="29" t="n">
        <f aca="false">ROUND(H100*I100,2)</f>
        <v>77538</v>
      </c>
      <c r="K100" s="29" t="n">
        <f aca="false">ROUND(J100*'Основания и цены'!$B$4,2)</f>
        <v>23261.4</v>
      </c>
      <c r="L100" s="29" t="n">
        <v>0</v>
      </c>
      <c r="M100" s="29" t="n">
        <f aca="false">ROUND(H100*L100,2)</f>
        <v>0</v>
      </c>
      <c r="N100" s="29" t="n">
        <v>0</v>
      </c>
      <c r="O100" s="29" t="n">
        <f aca="false">ROUND(H100*N100,2)</f>
        <v>0</v>
      </c>
      <c r="P100" s="29" t="n">
        <v>0</v>
      </c>
      <c r="Q100" s="29" t="n">
        <f aca="false">ROUND(H100*P100,2)</f>
        <v>0</v>
      </c>
      <c r="R100" s="29" t="n">
        <f aca="false">ROUND(J100+K100+M100+O100+Q100,2)</f>
        <v>100799.4</v>
      </c>
      <c r="S100" s="26" t="s">
        <v>59</v>
      </c>
      <c r="T100" s="29" t="n">
        <f aca="false">IF(S100="УЧТЕНО",R100,0)</f>
        <v>100799.4</v>
      </c>
      <c r="U100" s="27" t="s">
        <v>324</v>
      </c>
    </row>
    <row r="101" customFormat="false" ht="21.75" hidden="false" customHeight="true" outlineLevel="0" collapsed="false">
      <c r="A101" s="26" t="n">
        <v>2</v>
      </c>
      <c r="B101" s="26" t="s">
        <v>54</v>
      </c>
      <c r="C101" s="26" t="s">
        <v>325</v>
      </c>
      <c r="D101" s="27" t="s">
        <v>326</v>
      </c>
      <c r="E101" s="28" t="s">
        <v>57</v>
      </c>
      <c r="F101" s="26" t="s">
        <v>57</v>
      </c>
      <c r="G101" s="26" t="s">
        <v>327</v>
      </c>
      <c r="H101" s="28" t="n">
        <v>11</v>
      </c>
      <c r="I101" s="29" t="n">
        <v>0</v>
      </c>
      <c r="J101" s="29" t="n">
        <f aca="false">ROUND(H101*I101,2)</f>
        <v>0</v>
      </c>
      <c r="K101" s="29" t="n">
        <f aca="false">ROUND(J101*'Основания и цены'!$B$4,2)</f>
        <v>0</v>
      </c>
      <c r="L101" s="29" t="n">
        <f aca="false">Материалы!G38</f>
        <v>33600</v>
      </c>
      <c r="M101" s="29" t="n">
        <f aca="false">ROUND(H101*L101,2)</f>
        <v>369600</v>
      </c>
      <c r="N101" s="29" t="n">
        <v>0</v>
      </c>
      <c r="O101" s="29" t="n">
        <f aca="false">ROUND(H101*N101,2)</f>
        <v>0</v>
      </c>
      <c r="P101" s="29" t="n">
        <v>0</v>
      </c>
      <c r="Q101" s="29" t="n">
        <f aca="false">ROUND(H101*P101,2)</f>
        <v>0</v>
      </c>
      <c r="R101" s="29" t="n">
        <f aca="false">ROUND(J101+K101+M101+O101+Q101,2)</f>
        <v>369600</v>
      </c>
      <c r="S101" s="26" t="s">
        <v>59</v>
      </c>
      <c r="T101" s="29" t="n">
        <f aca="false">IF(S101="УЧТЕНО",R101,0)</f>
        <v>369600</v>
      </c>
      <c r="U101" s="27" t="s">
        <v>328</v>
      </c>
    </row>
    <row r="102" customFormat="false" ht="30.75" hidden="false" customHeight="true" outlineLevel="0" collapsed="false">
      <c r="A102" s="26" t="n">
        <v>2</v>
      </c>
      <c r="B102" s="26" t="s">
        <v>54</v>
      </c>
      <c r="C102" s="26" t="s">
        <v>329</v>
      </c>
      <c r="D102" s="27" t="s">
        <v>330</v>
      </c>
      <c r="E102" s="28" t="s">
        <v>57</v>
      </c>
      <c r="F102" s="26" t="s">
        <v>57</v>
      </c>
      <c r="G102" s="26" t="s">
        <v>180</v>
      </c>
      <c r="H102" s="28" t="n">
        <v>5976</v>
      </c>
      <c r="I102" s="29" t="n">
        <v>0</v>
      </c>
      <c r="J102" s="29" t="n">
        <f aca="false">ROUND(H102*I102,2)</f>
        <v>0</v>
      </c>
      <c r="K102" s="29" t="n">
        <f aca="false">ROUND(J102*'Основания и цены'!$B$4,2)</f>
        <v>0</v>
      </c>
      <c r="L102" s="29" t="n">
        <f aca="false">Материалы!G39</f>
        <v>680</v>
      </c>
      <c r="M102" s="29" t="n">
        <f aca="false">ROUND(H102*L102,2)</f>
        <v>4063680</v>
      </c>
      <c r="N102" s="29" t="n">
        <v>0</v>
      </c>
      <c r="O102" s="29" t="n">
        <f aca="false">ROUND(H102*N102,2)</f>
        <v>0</v>
      </c>
      <c r="P102" s="29" t="n">
        <v>0</v>
      </c>
      <c r="Q102" s="29" t="n">
        <f aca="false">ROUND(H102*P102,2)</f>
        <v>0</v>
      </c>
      <c r="R102" s="29" t="n">
        <f aca="false">ROUND(J102+K102+M102+O102+Q102,2)</f>
        <v>4063680</v>
      </c>
      <c r="S102" s="26" t="s">
        <v>59</v>
      </c>
      <c r="T102" s="29" t="n">
        <f aca="false">IF(S102="УЧТЕНО",R102,0)</f>
        <v>4063680</v>
      </c>
      <c r="U102" s="27" t="s">
        <v>331</v>
      </c>
    </row>
    <row r="103" customFormat="false" ht="30.75" hidden="false" customHeight="true" outlineLevel="0" collapsed="false">
      <c r="A103" s="26" t="n">
        <v>2</v>
      </c>
      <c r="B103" s="26" t="s">
        <v>54</v>
      </c>
      <c r="C103" s="26" t="s">
        <v>332</v>
      </c>
      <c r="D103" s="27" t="s">
        <v>333</v>
      </c>
      <c r="E103" s="28" t="s">
        <v>57</v>
      </c>
      <c r="F103" s="26" t="s">
        <v>57</v>
      </c>
      <c r="G103" s="26" t="s">
        <v>180</v>
      </c>
      <c r="H103" s="28" t="n">
        <v>1624</v>
      </c>
      <c r="I103" s="29" t="n">
        <v>0</v>
      </c>
      <c r="J103" s="29" t="n">
        <f aca="false">ROUND(H103*I103,2)</f>
        <v>0</v>
      </c>
      <c r="K103" s="29" t="n">
        <f aca="false">ROUND(J103*'Основания и цены'!$B$4,2)</f>
        <v>0</v>
      </c>
      <c r="L103" s="29" t="n">
        <f aca="false">Материалы!G40</f>
        <v>408</v>
      </c>
      <c r="M103" s="29" t="n">
        <f aca="false">ROUND(H103*L103,2)</f>
        <v>662592</v>
      </c>
      <c r="N103" s="29" t="n">
        <v>0</v>
      </c>
      <c r="O103" s="29" t="n">
        <f aca="false">ROUND(H103*N103,2)</f>
        <v>0</v>
      </c>
      <c r="P103" s="29" t="n">
        <v>0</v>
      </c>
      <c r="Q103" s="29" t="n">
        <f aca="false">ROUND(H103*P103,2)</f>
        <v>0</v>
      </c>
      <c r="R103" s="29" t="n">
        <f aca="false">ROUND(J103+K103+M103+O103+Q103,2)</f>
        <v>662592</v>
      </c>
      <c r="S103" s="26" t="s">
        <v>59</v>
      </c>
      <c r="T103" s="29" t="n">
        <f aca="false">IF(S103="УЧТЕНО",R103,0)</f>
        <v>662592</v>
      </c>
      <c r="U103" s="27" t="s">
        <v>334</v>
      </c>
    </row>
    <row r="104" customFormat="false" ht="30.75" hidden="false" customHeight="true" outlineLevel="0" collapsed="false">
      <c r="A104" s="26" t="n">
        <v>2</v>
      </c>
      <c r="B104" s="26" t="s">
        <v>54</v>
      </c>
      <c r="C104" s="26" t="s">
        <v>335</v>
      </c>
      <c r="D104" s="27" t="s">
        <v>336</v>
      </c>
      <c r="E104" s="28" t="s">
        <v>57</v>
      </c>
      <c r="F104" s="26" t="s">
        <v>57</v>
      </c>
      <c r="G104" s="26" t="s">
        <v>180</v>
      </c>
      <c r="H104" s="28" t="n">
        <v>4160</v>
      </c>
      <c r="I104" s="29" t="n">
        <v>0</v>
      </c>
      <c r="J104" s="29" t="n">
        <f aca="false">ROUND(H104*I104,2)</f>
        <v>0</v>
      </c>
      <c r="K104" s="29" t="n">
        <f aca="false">ROUND(J104*'Основания и цены'!$B$4,2)</f>
        <v>0</v>
      </c>
      <c r="L104" s="29" t="n">
        <f aca="false">Материалы!G41</f>
        <v>288</v>
      </c>
      <c r="M104" s="29" t="n">
        <f aca="false">ROUND(H104*L104,2)</f>
        <v>1198080</v>
      </c>
      <c r="N104" s="29" t="n">
        <v>0</v>
      </c>
      <c r="O104" s="29" t="n">
        <f aca="false">ROUND(H104*N104,2)</f>
        <v>0</v>
      </c>
      <c r="P104" s="29" t="n">
        <v>0</v>
      </c>
      <c r="Q104" s="29" t="n">
        <f aca="false">ROUND(H104*P104,2)</f>
        <v>0</v>
      </c>
      <c r="R104" s="29" t="n">
        <f aca="false">ROUND(J104+K104+M104+O104+Q104,2)</f>
        <v>1198080</v>
      </c>
      <c r="S104" s="26" t="s">
        <v>59</v>
      </c>
      <c r="T104" s="29" t="n">
        <f aca="false">IF(S104="УЧТЕНО",R104,0)</f>
        <v>1198080</v>
      </c>
      <c r="U104" s="27" t="s">
        <v>337</v>
      </c>
    </row>
    <row r="105" customFormat="false" ht="30.75" hidden="false" customHeight="true" outlineLevel="0" collapsed="false">
      <c r="A105" s="26" t="n">
        <v>2</v>
      </c>
      <c r="B105" s="26" t="s">
        <v>54</v>
      </c>
      <c r="C105" s="26" t="s">
        <v>338</v>
      </c>
      <c r="D105" s="27" t="s">
        <v>339</v>
      </c>
      <c r="E105" s="28" t="s">
        <v>57</v>
      </c>
      <c r="F105" s="26" t="s">
        <v>57</v>
      </c>
      <c r="G105" s="26" t="s">
        <v>180</v>
      </c>
      <c r="H105" s="28" t="n">
        <v>11340</v>
      </c>
      <c r="I105" s="29" t="n">
        <v>0</v>
      </c>
      <c r="J105" s="29" t="n">
        <f aca="false">ROUND(H105*I105,2)</f>
        <v>0</v>
      </c>
      <c r="K105" s="29" t="n">
        <f aca="false">ROUND(J105*'Основания и цены'!$B$4,2)</f>
        <v>0</v>
      </c>
      <c r="L105" s="29" t="n">
        <f aca="false">Материалы!G42</f>
        <v>29.4</v>
      </c>
      <c r="M105" s="29" t="n">
        <f aca="false">ROUND(H105*L105,2)</f>
        <v>333396</v>
      </c>
      <c r="N105" s="29" t="n">
        <v>0</v>
      </c>
      <c r="O105" s="29" t="n">
        <f aca="false">ROUND(H105*N105,2)</f>
        <v>0</v>
      </c>
      <c r="P105" s="29" t="n">
        <v>0</v>
      </c>
      <c r="Q105" s="29" t="n">
        <f aca="false">ROUND(H105*P105,2)</f>
        <v>0</v>
      </c>
      <c r="R105" s="29" t="n">
        <f aca="false">ROUND(J105+K105+M105+O105+Q105,2)</f>
        <v>333396</v>
      </c>
      <c r="S105" s="26" t="s">
        <v>59</v>
      </c>
      <c r="T105" s="29" t="n">
        <f aca="false">IF(S105="УЧТЕНО",R105,0)</f>
        <v>333396</v>
      </c>
      <c r="U105" s="27" t="s">
        <v>340</v>
      </c>
    </row>
    <row r="106" customFormat="false" ht="21.75" hidden="false" customHeight="true" outlineLevel="0" collapsed="false">
      <c r="A106" s="26" t="n">
        <v>2</v>
      </c>
      <c r="B106" s="26" t="s">
        <v>54</v>
      </c>
      <c r="C106" s="26" t="s">
        <v>341</v>
      </c>
      <c r="D106" s="27" t="s">
        <v>342</v>
      </c>
      <c r="E106" s="28" t="s">
        <v>57</v>
      </c>
      <c r="F106" s="26" t="s">
        <v>57</v>
      </c>
      <c r="G106" s="26" t="s">
        <v>116</v>
      </c>
      <c r="H106" s="28" t="n">
        <v>1.75</v>
      </c>
      <c r="I106" s="29" t="n">
        <v>0</v>
      </c>
      <c r="J106" s="29" t="n">
        <f aca="false">ROUND(H106*I106,2)</f>
        <v>0</v>
      </c>
      <c r="K106" s="29" t="n">
        <f aca="false">ROUND(J106*'Основания и цены'!$B$4,2)</f>
        <v>0</v>
      </c>
      <c r="L106" s="29" t="n">
        <f aca="false">Материалы!G43</f>
        <v>74160</v>
      </c>
      <c r="M106" s="29" t="n">
        <f aca="false">ROUND(H106*L106,2)</f>
        <v>129780</v>
      </c>
      <c r="N106" s="29" t="n">
        <v>0</v>
      </c>
      <c r="O106" s="29" t="n">
        <f aca="false">ROUND(H106*N106,2)</f>
        <v>0</v>
      </c>
      <c r="P106" s="29" t="n">
        <v>0</v>
      </c>
      <c r="Q106" s="29" t="n">
        <f aca="false">ROUND(H106*P106,2)</f>
        <v>0</v>
      </c>
      <c r="R106" s="29" t="n">
        <f aca="false">ROUND(J106+K106+M106+O106+Q106,2)</f>
        <v>129780</v>
      </c>
      <c r="S106" s="26" t="s">
        <v>59</v>
      </c>
      <c r="T106" s="29" t="n">
        <f aca="false">IF(S106="УЧТЕНО",R106,0)</f>
        <v>129780</v>
      </c>
      <c r="U106" s="27" t="s">
        <v>343</v>
      </c>
    </row>
    <row r="107" customFormat="false" ht="21.75" hidden="false" customHeight="true" outlineLevel="0" collapsed="false">
      <c r="A107" s="26" t="n">
        <v>2</v>
      </c>
      <c r="B107" s="26" t="s">
        <v>54</v>
      </c>
      <c r="C107" s="26" t="s">
        <v>344</v>
      </c>
      <c r="D107" s="27" t="s">
        <v>345</v>
      </c>
      <c r="E107" s="28" t="s">
        <v>57</v>
      </c>
      <c r="F107" s="26" t="s">
        <v>57</v>
      </c>
      <c r="G107" s="26" t="s">
        <v>116</v>
      </c>
      <c r="H107" s="28" t="n">
        <v>135.21</v>
      </c>
      <c r="I107" s="29" t="n">
        <v>0</v>
      </c>
      <c r="J107" s="29" t="n">
        <f aca="false">ROUND(H107*I107,2)</f>
        <v>0</v>
      </c>
      <c r="K107" s="29" t="n">
        <f aca="false">ROUND(J107*'Основания и цены'!$B$4,2)</f>
        <v>0</v>
      </c>
      <c r="L107" s="29" t="n">
        <f aca="false">Материалы!G44</f>
        <v>1200</v>
      </c>
      <c r="M107" s="29" t="n">
        <f aca="false">ROUND(H107*L107,2)</f>
        <v>162252</v>
      </c>
      <c r="N107" s="29" t="n">
        <v>0</v>
      </c>
      <c r="O107" s="29" t="n">
        <f aca="false">ROUND(H107*N107,2)</f>
        <v>0</v>
      </c>
      <c r="P107" s="29" t="n">
        <v>0</v>
      </c>
      <c r="Q107" s="29" t="n">
        <f aca="false">ROUND(H107*P107,2)</f>
        <v>0</v>
      </c>
      <c r="R107" s="29" t="n">
        <f aca="false">ROUND(J107+K107+M107+O107+Q107,2)</f>
        <v>162252</v>
      </c>
      <c r="S107" s="26" t="s">
        <v>59</v>
      </c>
      <c r="T107" s="29" t="n">
        <f aca="false">IF(S107="УЧТЕНО",R107,0)</f>
        <v>162252</v>
      </c>
      <c r="U107" s="27" t="s">
        <v>346</v>
      </c>
    </row>
    <row r="108" customFormat="false" ht="21.75" hidden="false" customHeight="true" outlineLevel="0" collapsed="false">
      <c r="A108" s="26" t="n">
        <v>2</v>
      </c>
      <c r="B108" s="26" t="s">
        <v>54</v>
      </c>
      <c r="C108" s="26" t="s">
        <v>347</v>
      </c>
      <c r="D108" s="27" t="s">
        <v>348</v>
      </c>
      <c r="E108" s="28" t="s">
        <v>57</v>
      </c>
      <c r="F108" s="26" t="s">
        <v>57</v>
      </c>
      <c r="G108" s="26" t="s">
        <v>349</v>
      </c>
      <c r="H108" s="28" t="n">
        <v>983</v>
      </c>
      <c r="I108" s="29" t="n">
        <v>0</v>
      </c>
      <c r="J108" s="29" t="n">
        <f aca="false">ROUND(H108*I108,2)</f>
        <v>0</v>
      </c>
      <c r="K108" s="29" t="n">
        <f aca="false">ROUND(J108*'Основания и цены'!$B$4,2)</f>
        <v>0</v>
      </c>
      <c r="L108" s="29" t="n">
        <f aca="false">Материалы!G45</f>
        <v>650.4</v>
      </c>
      <c r="M108" s="29" t="n">
        <f aca="false">ROUND(H108*L108,2)</f>
        <v>639343.2</v>
      </c>
      <c r="N108" s="29" t="n">
        <v>0</v>
      </c>
      <c r="O108" s="29" t="n">
        <f aca="false">ROUND(H108*N108,2)</f>
        <v>0</v>
      </c>
      <c r="P108" s="29" t="n">
        <v>0</v>
      </c>
      <c r="Q108" s="29" t="n">
        <f aca="false">ROUND(H108*P108,2)</f>
        <v>0</v>
      </c>
      <c r="R108" s="29" t="n">
        <f aca="false">ROUND(J108+K108+M108+O108+Q108,2)</f>
        <v>639343.2</v>
      </c>
      <c r="S108" s="26" t="s">
        <v>59</v>
      </c>
      <c r="T108" s="29" t="n">
        <f aca="false">IF(S108="УЧТЕНО",R108,0)</f>
        <v>639343.2</v>
      </c>
      <c r="U108" s="27" t="s">
        <v>350</v>
      </c>
    </row>
    <row r="109" customFormat="false" ht="21.75" hidden="false" customHeight="true" outlineLevel="0" collapsed="false">
      <c r="A109" s="26" t="n">
        <v>2</v>
      </c>
      <c r="B109" s="26" t="s">
        <v>54</v>
      </c>
      <c r="C109" s="26" t="s">
        <v>351</v>
      </c>
      <c r="D109" s="27" t="s">
        <v>352</v>
      </c>
      <c r="E109" s="28" t="s">
        <v>57</v>
      </c>
      <c r="F109" s="26" t="s">
        <v>57</v>
      </c>
      <c r="G109" s="26" t="s">
        <v>80</v>
      </c>
      <c r="H109" s="28" t="n">
        <v>600</v>
      </c>
      <c r="I109" s="29" t="n">
        <v>0</v>
      </c>
      <c r="J109" s="29" t="n">
        <f aca="false">ROUND(H109*I109,2)</f>
        <v>0</v>
      </c>
      <c r="K109" s="29" t="n">
        <f aca="false">ROUND(J109*'Основания и цены'!$B$4,2)</f>
        <v>0</v>
      </c>
      <c r="L109" s="29" t="n">
        <f aca="false">Материалы!G46</f>
        <v>136.32</v>
      </c>
      <c r="M109" s="29" t="n">
        <f aca="false">ROUND(H109*L109,2)</f>
        <v>81792</v>
      </c>
      <c r="N109" s="29" t="n">
        <v>0</v>
      </c>
      <c r="O109" s="29" t="n">
        <f aca="false">ROUND(H109*N109,2)</f>
        <v>0</v>
      </c>
      <c r="P109" s="29" t="n">
        <v>0</v>
      </c>
      <c r="Q109" s="29" t="n">
        <f aca="false">ROUND(H109*P109,2)</f>
        <v>0</v>
      </c>
      <c r="R109" s="29" t="n">
        <f aca="false">ROUND(J109+K109+M109+O109+Q109,2)</f>
        <v>81792</v>
      </c>
      <c r="S109" s="26" t="s">
        <v>59</v>
      </c>
      <c r="T109" s="29" t="n">
        <f aca="false">IF(S109="УЧТЕНО",R109,0)</f>
        <v>81792</v>
      </c>
      <c r="U109" s="27" t="s">
        <v>353</v>
      </c>
    </row>
    <row r="110" customFormat="false" ht="21.75" hidden="false" customHeight="true" outlineLevel="0" collapsed="false">
      <c r="A110" s="26" t="n">
        <v>2</v>
      </c>
      <c r="B110" s="26" t="s">
        <v>54</v>
      </c>
      <c r="C110" s="26" t="s">
        <v>354</v>
      </c>
      <c r="D110" s="27" t="s">
        <v>355</v>
      </c>
      <c r="E110" s="28" t="s">
        <v>57</v>
      </c>
      <c r="F110" s="26" t="s">
        <v>57</v>
      </c>
      <c r="G110" s="26" t="s">
        <v>80</v>
      </c>
      <c r="H110" s="28" t="n">
        <v>70</v>
      </c>
      <c r="I110" s="29" t="n">
        <v>0</v>
      </c>
      <c r="J110" s="29" t="n">
        <f aca="false">ROUND(H110*I110,2)</f>
        <v>0</v>
      </c>
      <c r="K110" s="29" t="n">
        <f aca="false">ROUND(J110*'Основания и цены'!$B$4,2)</f>
        <v>0</v>
      </c>
      <c r="L110" s="29" t="n">
        <f aca="false">Материалы!G47</f>
        <v>63.6</v>
      </c>
      <c r="M110" s="29" t="n">
        <f aca="false">ROUND(H110*L110,2)</f>
        <v>4452</v>
      </c>
      <c r="N110" s="29" t="n">
        <v>0</v>
      </c>
      <c r="O110" s="29" t="n">
        <f aca="false">ROUND(H110*N110,2)</f>
        <v>0</v>
      </c>
      <c r="P110" s="29" t="n">
        <v>0</v>
      </c>
      <c r="Q110" s="29" t="n">
        <f aca="false">ROUND(H110*P110,2)</f>
        <v>0</v>
      </c>
      <c r="R110" s="29" t="n">
        <f aca="false">ROUND(J110+K110+M110+O110+Q110,2)</f>
        <v>4452</v>
      </c>
      <c r="S110" s="26" t="s">
        <v>59</v>
      </c>
      <c r="T110" s="29" t="n">
        <f aca="false">IF(S110="УЧТЕНО",R110,0)</f>
        <v>4452</v>
      </c>
      <c r="U110" s="27" t="s">
        <v>356</v>
      </c>
    </row>
    <row r="111" customFormat="false" ht="21.75" hidden="false" customHeight="true" outlineLevel="0" collapsed="false">
      <c r="A111" s="26" t="n">
        <v>2</v>
      </c>
      <c r="B111" s="26" t="s">
        <v>54</v>
      </c>
      <c r="C111" s="26" t="s">
        <v>357</v>
      </c>
      <c r="D111" s="27" t="s">
        <v>211</v>
      </c>
      <c r="E111" s="28" t="s">
        <v>57</v>
      </c>
      <c r="F111" s="26" t="s">
        <v>57</v>
      </c>
      <c r="G111" s="26" t="s">
        <v>212</v>
      </c>
      <c r="H111" s="28" t="n">
        <v>1</v>
      </c>
      <c r="I111" s="29" t="n">
        <v>0</v>
      </c>
      <c r="J111" s="29" t="n">
        <f aca="false">ROUND(H111*I111,2)</f>
        <v>0</v>
      </c>
      <c r="K111" s="29" t="n">
        <f aca="false">ROUND(J111*'Основания и цены'!$B$4,2)</f>
        <v>0</v>
      </c>
      <c r="L111" s="29" t="n">
        <f aca="false">Материалы!G48</f>
        <v>152899.34</v>
      </c>
      <c r="M111" s="29" t="n">
        <f aca="false">ROUND(H111*L111,2)</f>
        <v>152899.34</v>
      </c>
      <c r="N111" s="29" t="n">
        <v>0</v>
      </c>
      <c r="O111" s="29" t="n">
        <f aca="false">ROUND(H111*N111,2)</f>
        <v>0</v>
      </c>
      <c r="P111" s="29" t="n">
        <v>0</v>
      </c>
      <c r="Q111" s="29" t="n">
        <f aca="false">ROUND(H111*P111,2)</f>
        <v>0</v>
      </c>
      <c r="R111" s="29" t="n">
        <f aca="false">ROUND(J111+K111+M111+O111+Q111,2)</f>
        <v>152899.34</v>
      </c>
      <c r="S111" s="26" t="s">
        <v>59</v>
      </c>
      <c r="T111" s="29" t="n">
        <f aca="false">IF(S111="УЧТЕНО",R111,0)</f>
        <v>152899.34</v>
      </c>
      <c r="U111" s="27" t="s">
        <v>358</v>
      </c>
    </row>
    <row r="112" customFormat="false" ht="21.75" hidden="false" customHeight="true" outlineLevel="0" collapsed="false">
      <c r="A112" s="26" t="n">
        <v>2</v>
      </c>
      <c r="B112" s="26" t="s">
        <v>54</v>
      </c>
      <c r="C112" s="26" t="s">
        <v>359</v>
      </c>
      <c r="D112" s="27" t="s">
        <v>360</v>
      </c>
      <c r="E112" s="28" t="s">
        <v>57</v>
      </c>
      <c r="F112" s="26" t="s">
        <v>57</v>
      </c>
      <c r="G112" s="26" t="s">
        <v>63</v>
      </c>
      <c r="H112" s="28" t="n">
        <v>4</v>
      </c>
      <c r="I112" s="29" t="n">
        <v>0</v>
      </c>
      <c r="J112" s="29" t="n">
        <f aca="false">ROUND(H112*I112,2)</f>
        <v>0</v>
      </c>
      <c r="K112" s="29" t="n">
        <f aca="false">ROUND(J112*'Основания и цены'!$B$4,2)</f>
        <v>0</v>
      </c>
      <c r="L112" s="29" t="n">
        <v>0</v>
      </c>
      <c r="M112" s="29" t="n">
        <f aca="false">ROUND(H112*L112,2)</f>
        <v>0</v>
      </c>
      <c r="N112" s="29" t="n">
        <v>0</v>
      </c>
      <c r="O112" s="29" t="n">
        <f aca="false">ROUND(H112*N112,2)</f>
        <v>0</v>
      </c>
      <c r="P112" s="29" t="n">
        <v>24000</v>
      </c>
      <c r="Q112" s="29" t="n">
        <f aca="false">ROUND(H112*P112,2)</f>
        <v>96000</v>
      </c>
      <c r="R112" s="29" t="n">
        <f aca="false">ROUND(J112+K112+M112+O112+Q112,2)</f>
        <v>96000</v>
      </c>
      <c r="S112" s="26" t="s">
        <v>59</v>
      </c>
      <c r="T112" s="29" t="n">
        <f aca="false">IF(S112="УЧТЕНО",R112,0)</f>
        <v>96000</v>
      </c>
      <c r="U112" s="27" t="s">
        <v>361</v>
      </c>
    </row>
    <row r="113" customFormat="false" ht="21.75" hidden="false" customHeight="true" outlineLevel="0" collapsed="false">
      <c r="A113" s="26" t="n">
        <v>2</v>
      </c>
      <c r="B113" s="26" t="s">
        <v>54</v>
      </c>
      <c r="C113" s="26" t="s">
        <v>362</v>
      </c>
      <c r="D113" s="27" t="s">
        <v>363</v>
      </c>
      <c r="E113" s="28" t="s">
        <v>57</v>
      </c>
      <c r="F113" s="26" t="s">
        <v>57</v>
      </c>
      <c r="G113" s="26" t="s">
        <v>63</v>
      </c>
      <c r="H113" s="28" t="n">
        <v>1</v>
      </c>
      <c r="I113" s="29" t="n">
        <v>0</v>
      </c>
      <c r="J113" s="29" t="n">
        <f aca="false">ROUND(H113*I113,2)</f>
        <v>0</v>
      </c>
      <c r="K113" s="29" t="n">
        <f aca="false">ROUND(J113*'Основания и цены'!$B$4,2)</f>
        <v>0</v>
      </c>
      <c r="L113" s="29" t="n">
        <v>0</v>
      </c>
      <c r="M113" s="29" t="n">
        <f aca="false">ROUND(H113*L113,2)</f>
        <v>0</v>
      </c>
      <c r="N113" s="29" t="n">
        <v>0</v>
      </c>
      <c r="O113" s="29" t="n">
        <f aca="false">ROUND(H113*N113,2)</f>
        <v>0</v>
      </c>
      <c r="P113" s="29" t="n">
        <v>24000</v>
      </c>
      <c r="Q113" s="29" t="n">
        <f aca="false">ROUND(H113*P113,2)</f>
        <v>24000</v>
      </c>
      <c r="R113" s="29" t="n">
        <f aca="false">ROUND(J113+K113+M113+O113+Q113,2)</f>
        <v>24000</v>
      </c>
      <c r="S113" s="26" t="s">
        <v>59</v>
      </c>
      <c r="T113" s="29" t="n">
        <f aca="false">IF(S113="УЧТЕНО",R113,0)</f>
        <v>24000</v>
      </c>
      <c r="U113" s="27" t="s">
        <v>364</v>
      </c>
    </row>
    <row r="114" customFormat="false" ht="21.75" hidden="false" customHeight="true" outlineLevel="0" collapsed="false">
      <c r="A114" s="26" t="n">
        <v>2</v>
      </c>
      <c r="B114" s="26" t="s">
        <v>54</v>
      </c>
      <c r="C114" s="26" t="s">
        <v>365</v>
      </c>
      <c r="D114" s="27" t="s">
        <v>366</v>
      </c>
      <c r="E114" s="28" t="s">
        <v>57</v>
      </c>
      <c r="F114" s="26" t="s">
        <v>57</v>
      </c>
      <c r="G114" s="26" t="s">
        <v>63</v>
      </c>
      <c r="H114" s="28" t="n">
        <v>11</v>
      </c>
      <c r="I114" s="29" t="n">
        <v>0</v>
      </c>
      <c r="J114" s="29" t="n">
        <f aca="false">ROUND(H114*I114,2)</f>
        <v>0</v>
      </c>
      <c r="K114" s="29" t="n">
        <f aca="false">ROUND(J114*'Основания и цены'!$B$4,2)</f>
        <v>0</v>
      </c>
      <c r="L114" s="29" t="n">
        <v>0</v>
      </c>
      <c r="M114" s="29" t="n">
        <f aca="false">ROUND(H114*L114,2)</f>
        <v>0</v>
      </c>
      <c r="N114" s="29" t="n">
        <v>0</v>
      </c>
      <c r="O114" s="29" t="n">
        <f aca="false">ROUND(H114*N114,2)</f>
        <v>0</v>
      </c>
      <c r="P114" s="29" t="n">
        <v>24000</v>
      </c>
      <c r="Q114" s="29" t="n">
        <f aca="false">ROUND(H114*P114,2)</f>
        <v>264000</v>
      </c>
      <c r="R114" s="29" t="n">
        <f aca="false">ROUND(J114+K114+M114+O114+Q114,2)</f>
        <v>264000</v>
      </c>
      <c r="S114" s="26" t="s">
        <v>59</v>
      </c>
      <c r="T114" s="29" t="n">
        <f aca="false">IF(S114="УЧТЕНО",R114,0)</f>
        <v>264000</v>
      </c>
      <c r="U114" s="27" t="s">
        <v>367</v>
      </c>
    </row>
    <row r="115" customFormat="false" ht="21.75" hidden="false" customHeight="true" outlineLevel="0" collapsed="false">
      <c r="A115" s="26" t="n">
        <v>2</v>
      </c>
      <c r="B115" s="26" t="s">
        <v>54</v>
      </c>
      <c r="C115" s="26" t="s">
        <v>368</v>
      </c>
      <c r="D115" s="27" t="s">
        <v>369</v>
      </c>
      <c r="E115" s="28" t="s">
        <v>57</v>
      </c>
      <c r="F115" s="26" t="s">
        <v>57</v>
      </c>
      <c r="G115" s="26" t="s">
        <v>63</v>
      </c>
      <c r="H115" s="28" t="n">
        <v>1</v>
      </c>
      <c r="I115" s="29" t="n">
        <v>0</v>
      </c>
      <c r="J115" s="29" t="n">
        <f aca="false">ROUND(H115*I115,2)</f>
        <v>0</v>
      </c>
      <c r="K115" s="29" t="n">
        <f aca="false">ROUND(J115*'Основания и цены'!$B$4,2)</f>
        <v>0</v>
      </c>
      <c r="L115" s="29" t="n">
        <v>0</v>
      </c>
      <c r="M115" s="29" t="n">
        <f aca="false">ROUND(H115*L115,2)</f>
        <v>0</v>
      </c>
      <c r="N115" s="29" t="n">
        <v>0</v>
      </c>
      <c r="O115" s="29" t="n">
        <f aca="false">ROUND(H115*N115,2)</f>
        <v>0</v>
      </c>
      <c r="P115" s="29" t="n">
        <v>24000</v>
      </c>
      <c r="Q115" s="29" t="n">
        <f aca="false">ROUND(H115*P115,2)</f>
        <v>24000</v>
      </c>
      <c r="R115" s="29" t="n">
        <f aca="false">ROUND(J115+K115+M115+O115+Q115,2)</f>
        <v>24000</v>
      </c>
      <c r="S115" s="26" t="s">
        <v>59</v>
      </c>
      <c r="T115" s="29" t="n">
        <f aca="false">IF(S115="УЧТЕНО",R115,0)</f>
        <v>24000</v>
      </c>
      <c r="U115" s="27" t="s">
        <v>370</v>
      </c>
    </row>
    <row r="116" customFormat="false" ht="30.75" hidden="false" customHeight="true" outlineLevel="0" collapsed="false">
      <c r="A116" s="26" t="n">
        <v>2</v>
      </c>
      <c r="B116" s="26" t="s">
        <v>54</v>
      </c>
      <c r="C116" s="26" t="s">
        <v>371</v>
      </c>
      <c r="D116" s="27" t="s">
        <v>372</v>
      </c>
      <c r="E116" s="28" t="s">
        <v>57</v>
      </c>
      <c r="F116" s="26" t="s">
        <v>57</v>
      </c>
      <c r="G116" s="26" t="s">
        <v>63</v>
      </c>
      <c r="H116" s="28" t="n">
        <v>2</v>
      </c>
      <c r="I116" s="29" t="n">
        <v>0</v>
      </c>
      <c r="J116" s="29" t="n">
        <f aca="false">ROUND(H116*I116,2)</f>
        <v>0</v>
      </c>
      <c r="K116" s="29" t="n">
        <f aca="false">ROUND(J116*'Основания и цены'!$B$4,2)</f>
        <v>0</v>
      </c>
      <c r="L116" s="29" t="n">
        <v>0</v>
      </c>
      <c r="M116" s="29" t="n">
        <f aca="false">ROUND(H116*L116,2)</f>
        <v>0</v>
      </c>
      <c r="N116" s="29" t="n">
        <v>0</v>
      </c>
      <c r="O116" s="29" t="n">
        <f aca="false">ROUND(H116*N116,2)</f>
        <v>0</v>
      </c>
      <c r="P116" s="29" t="n">
        <v>24000</v>
      </c>
      <c r="Q116" s="29" t="n">
        <f aca="false">ROUND(H116*P116,2)</f>
        <v>48000</v>
      </c>
      <c r="R116" s="29" t="n">
        <f aca="false">ROUND(J116+K116+M116+O116+Q116,2)</f>
        <v>48000</v>
      </c>
      <c r="S116" s="26" t="s">
        <v>59</v>
      </c>
      <c r="T116" s="29" t="n">
        <f aca="false">IF(S116="УЧТЕНО",R116,0)</f>
        <v>48000</v>
      </c>
      <c r="U116" s="27" t="s">
        <v>373</v>
      </c>
    </row>
    <row r="117" customFormat="false" ht="21.75" hidden="false" customHeight="true" outlineLevel="0" collapsed="false">
      <c r="A117" s="26" t="n">
        <v>2</v>
      </c>
      <c r="B117" s="26" t="s">
        <v>54</v>
      </c>
      <c r="C117" s="26" t="s">
        <v>374</v>
      </c>
      <c r="D117" s="27" t="s">
        <v>375</v>
      </c>
      <c r="E117" s="28" t="s">
        <v>57</v>
      </c>
      <c r="F117" s="26" t="s">
        <v>57</v>
      </c>
      <c r="G117" s="26" t="s">
        <v>63</v>
      </c>
      <c r="H117" s="28" t="n">
        <v>4</v>
      </c>
      <c r="I117" s="29" t="n">
        <v>0</v>
      </c>
      <c r="J117" s="29" t="n">
        <f aca="false">ROUND(H117*I117,2)</f>
        <v>0</v>
      </c>
      <c r="K117" s="29" t="n">
        <f aca="false">ROUND(J117*'Основания и цены'!$B$4,2)</f>
        <v>0</v>
      </c>
      <c r="L117" s="29" t="n">
        <v>0</v>
      </c>
      <c r="M117" s="29" t="n">
        <f aca="false">ROUND(H117*L117,2)</f>
        <v>0</v>
      </c>
      <c r="N117" s="29" t="n">
        <v>0</v>
      </c>
      <c r="O117" s="29" t="n">
        <f aca="false">ROUND(H117*N117,2)</f>
        <v>0</v>
      </c>
      <c r="P117" s="29" t="n">
        <v>24000</v>
      </c>
      <c r="Q117" s="29" t="n">
        <f aca="false">ROUND(H117*P117,2)</f>
        <v>96000</v>
      </c>
      <c r="R117" s="29" t="n">
        <f aca="false">ROUND(J117+K117+M117+O117+Q117,2)</f>
        <v>96000</v>
      </c>
      <c r="S117" s="26" t="s">
        <v>59</v>
      </c>
      <c r="T117" s="29" t="n">
        <f aca="false">IF(S117="УЧТЕНО",R117,0)</f>
        <v>96000</v>
      </c>
      <c r="U117" s="27" t="s">
        <v>376</v>
      </c>
    </row>
    <row r="118" customFormat="false" ht="15" hidden="false" customHeight="true" outlineLevel="0" collapsed="false">
      <c r="A118" s="30"/>
      <c r="B118" s="30"/>
      <c r="C118" s="30"/>
      <c r="D118" s="30" t="s">
        <v>71</v>
      </c>
      <c r="E118" s="30"/>
      <c r="F118" s="30"/>
      <c r="G118" s="30"/>
      <c r="H118" s="30"/>
      <c r="I118" s="30"/>
      <c r="J118" s="31" t="n">
        <f aca="false">ROUND(SUMIF($S$87:$S$117,"УЧТЕНО",$J$87:$J$117),2)</f>
        <v>1533967.04</v>
      </c>
      <c r="K118" s="31" t="n">
        <f aca="false">ROUND(SUMIF($S$87:$S$117,"УЧТЕНО",$K$87:$K$117),2)</f>
        <v>460190.12</v>
      </c>
      <c r="L118" s="30"/>
      <c r="M118" s="31" t="n">
        <f aca="false">ROUND(SUMIF($S$87:$S$117,"УЧТЕНО",$M$87:$M$117),2)</f>
        <v>7797866.54</v>
      </c>
      <c r="N118" s="30"/>
      <c r="O118" s="31" t="n">
        <f aca="false">ROUND(SUMIF($S$87:$S$117,"УЧТЕНО",$O$87:$O$117),2)</f>
        <v>0</v>
      </c>
      <c r="P118" s="30"/>
      <c r="Q118" s="31" t="n">
        <f aca="false">ROUND(SUMIF($S$87:$S$117,"УЧТЕНО",$Q$87:$Q$117),2)</f>
        <v>552000</v>
      </c>
      <c r="R118" s="31" t="n">
        <f aca="false">ROUND(J118+K118+M118+O118+Q118,2)</f>
        <v>10344023.7</v>
      </c>
      <c r="S118" s="30" t="s">
        <v>72</v>
      </c>
      <c r="T118" s="31" t="n">
        <f aca="false">R118</f>
        <v>10344023.7</v>
      </c>
      <c r="U118" s="30"/>
    </row>
    <row r="119" customFormat="false" ht="42" hidden="false" customHeight="true" outlineLevel="0" collapsed="false">
      <c r="A119" s="24" t="s">
        <v>377</v>
      </c>
      <c r="B119" s="24"/>
      <c r="C119" s="24"/>
      <c r="D119" s="24"/>
      <c r="E119" s="24"/>
      <c r="F119" s="24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</row>
    <row r="120" customFormat="false" ht="21.75" hidden="false" customHeight="true" outlineLevel="0" collapsed="false">
      <c r="A120" s="26" t="n">
        <v>2</v>
      </c>
      <c r="B120" s="26" t="s">
        <v>74</v>
      </c>
      <c r="C120" s="26" t="s">
        <v>75</v>
      </c>
      <c r="D120" s="27" t="s">
        <v>378</v>
      </c>
      <c r="E120" s="28" t="s">
        <v>57</v>
      </c>
      <c r="F120" s="26" t="s">
        <v>57</v>
      </c>
      <c r="G120" s="26" t="s">
        <v>180</v>
      </c>
      <c r="H120" s="28" t="n">
        <v>9</v>
      </c>
      <c r="I120" s="29" t="n">
        <v>738.46</v>
      </c>
      <c r="J120" s="29" t="n">
        <f aca="false">ROUND(H120*I120,2)</f>
        <v>6646.14</v>
      </c>
      <c r="K120" s="29" t="n">
        <f aca="false">ROUND(J120*'Основания и цены'!$B$4,2)</f>
        <v>1993.84</v>
      </c>
      <c r="L120" s="29" t="n">
        <v>0</v>
      </c>
      <c r="M120" s="29" t="n">
        <f aca="false">ROUND(H120*L120,2)</f>
        <v>0</v>
      </c>
      <c r="N120" s="29" t="n">
        <v>0</v>
      </c>
      <c r="O120" s="29" t="n">
        <f aca="false">ROUND(H120*N120,2)</f>
        <v>0</v>
      </c>
      <c r="P120" s="29" t="n">
        <v>0</v>
      </c>
      <c r="Q120" s="29" t="n">
        <f aca="false">ROUND(H120*P120,2)</f>
        <v>0</v>
      </c>
      <c r="R120" s="29" t="n">
        <f aca="false">ROUND(J120+K120+M120+O120+Q120,2)</f>
        <v>8639.98</v>
      </c>
      <c r="S120" s="26" t="s">
        <v>59</v>
      </c>
      <c r="T120" s="29" t="n">
        <f aca="false">IF(S120="УЧТЕНО",R120,0)</f>
        <v>8639.98</v>
      </c>
      <c r="U120" s="27" t="s">
        <v>379</v>
      </c>
    </row>
    <row r="121" customFormat="false" ht="21.75" hidden="false" customHeight="true" outlineLevel="0" collapsed="false">
      <c r="A121" s="26" t="n">
        <v>2</v>
      </c>
      <c r="B121" s="26" t="s">
        <v>74</v>
      </c>
      <c r="C121" s="26" t="s">
        <v>78</v>
      </c>
      <c r="D121" s="27" t="s">
        <v>380</v>
      </c>
      <c r="E121" s="28" t="s">
        <v>57</v>
      </c>
      <c r="F121" s="26" t="s">
        <v>57</v>
      </c>
      <c r="G121" s="26" t="s">
        <v>80</v>
      </c>
      <c r="H121" s="28" t="n">
        <v>52.8</v>
      </c>
      <c r="I121" s="29" t="n">
        <v>184.62</v>
      </c>
      <c r="J121" s="29" t="n">
        <f aca="false">ROUND(H121*I121,2)</f>
        <v>9747.94</v>
      </c>
      <c r="K121" s="29" t="n">
        <f aca="false">ROUND(J121*'Основания и цены'!$B$4,2)</f>
        <v>2924.38</v>
      </c>
      <c r="L121" s="29" t="n">
        <v>0</v>
      </c>
      <c r="M121" s="29" t="n">
        <f aca="false">ROUND(H121*L121,2)</f>
        <v>0</v>
      </c>
      <c r="N121" s="29" t="n">
        <v>0</v>
      </c>
      <c r="O121" s="29" t="n">
        <f aca="false">ROUND(H121*N121,2)</f>
        <v>0</v>
      </c>
      <c r="P121" s="29" t="n">
        <v>0</v>
      </c>
      <c r="Q121" s="29" t="n">
        <f aca="false">ROUND(H121*P121,2)</f>
        <v>0</v>
      </c>
      <c r="R121" s="29" t="n">
        <f aca="false">ROUND(J121+K121+M121+O121+Q121,2)</f>
        <v>12672.32</v>
      </c>
      <c r="S121" s="26" t="s">
        <v>59</v>
      </c>
      <c r="T121" s="29" t="n">
        <f aca="false">IF(S121="УЧТЕНО",R121,0)</f>
        <v>12672.32</v>
      </c>
      <c r="U121" s="27" t="s">
        <v>381</v>
      </c>
    </row>
    <row r="122" customFormat="false" ht="21.75" hidden="false" customHeight="true" outlineLevel="0" collapsed="false">
      <c r="A122" s="26" t="n">
        <v>2</v>
      </c>
      <c r="B122" s="26" t="s">
        <v>74</v>
      </c>
      <c r="C122" s="26" t="s">
        <v>82</v>
      </c>
      <c r="D122" s="27" t="s">
        <v>382</v>
      </c>
      <c r="E122" s="28" t="n">
        <v>155.54</v>
      </c>
      <c r="F122" s="26" t="s">
        <v>135</v>
      </c>
      <c r="G122" s="26" t="s">
        <v>135</v>
      </c>
      <c r="H122" s="28" t="n">
        <v>176</v>
      </c>
      <c r="I122" s="29" t="n">
        <v>295.38</v>
      </c>
      <c r="J122" s="29" t="n">
        <f aca="false">ROUND(H122*I122,2)</f>
        <v>51986.88</v>
      </c>
      <c r="K122" s="29" t="n">
        <f aca="false">ROUND(J122*'Основания и цены'!$B$4,2)</f>
        <v>15596.06</v>
      </c>
      <c r="L122" s="29" t="n">
        <v>0</v>
      </c>
      <c r="M122" s="29" t="n">
        <f aca="false">ROUND(H122*L122,2)</f>
        <v>0</v>
      </c>
      <c r="N122" s="29" t="n">
        <v>0</v>
      </c>
      <c r="O122" s="29" t="n">
        <f aca="false">ROUND(H122*N122,2)</f>
        <v>0</v>
      </c>
      <c r="P122" s="29" t="n">
        <v>0</v>
      </c>
      <c r="Q122" s="29" t="n">
        <f aca="false">ROUND(H122*P122,2)</f>
        <v>0</v>
      </c>
      <c r="R122" s="29" t="n">
        <f aca="false">ROUND(J122+K122+M122+O122+Q122,2)</f>
        <v>67582.94</v>
      </c>
      <c r="S122" s="26" t="s">
        <v>59</v>
      </c>
      <c r="T122" s="29" t="n">
        <f aca="false">IF(S122="УЧТЕНО",R122,0)</f>
        <v>67582.94</v>
      </c>
      <c r="U122" s="27" t="s">
        <v>383</v>
      </c>
    </row>
    <row r="123" customFormat="false" ht="21.75" hidden="false" customHeight="true" outlineLevel="0" collapsed="false">
      <c r="A123" s="26" t="n">
        <v>2</v>
      </c>
      <c r="B123" s="26" t="s">
        <v>74</v>
      </c>
      <c r="C123" s="26" t="s">
        <v>85</v>
      </c>
      <c r="D123" s="27" t="s">
        <v>384</v>
      </c>
      <c r="E123" s="28" t="s">
        <v>57</v>
      </c>
      <c r="F123" s="26" t="s">
        <v>57</v>
      </c>
      <c r="G123" s="26" t="s">
        <v>190</v>
      </c>
      <c r="H123" s="28" t="n">
        <v>14</v>
      </c>
      <c r="I123" s="29" t="n">
        <v>0</v>
      </c>
      <c r="J123" s="29" t="n">
        <f aca="false">ROUND(H123*I123,2)</f>
        <v>0</v>
      </c>
      <c r="K123" s="29" t="n">
        <f aca="false">ROUND(J123*'Основания и цены'!$B$4,2)</f>
        <v>0</v>
      </c>
      <c r="L123" s="29" t="n">
        <f aca="false">Материалы!G49</f>
        <v>112.86</v>
      </c>
      <c r="M123" s="29" t="n">
        <f aca="false">ROUND(H123*L123,2)</f>
        <v>1580.04</v>
      </c>
      <c r="N123" s="29" t="n">
        <v>0</v>
      </c>
      <c r="O123" s="29" t="n">
        <f aca="false">ROUND(H123*N123,2)</f>
        <v>0</v>
      </c>
      <c r="P123" s="29" t="n">
        <v>0</v>
      </c>
      <c r="Q123" s="29" t="n">
        <f aca="false">ROUND(H123*P123,2)</f>
        <v>0</v>
      </c>
      <c r="R123" s="29" t="n">
        <f aca="false">ROUND(J123+K123+M123+O123+Q123,2)</f>
        <v>1580.04</v>
      </c>
      <c r="S123" s="26" t="s">
        <v>59</v>
      </c>
      <c r="T123" s="29" t="n">
        <f aca="false">IF(S123="УЧТЕНО",R123,0)</f>
        <v>1580.04</v>
      </c>
      <c r="U123" s="27" t="s">
        <v>385</v>
      </c>
    </row>
    <row r="124" customFormat="false" ht="21.75" hidden="false" customHeight="true" outlineLevel="0" collapsed="false">
      <c r="A124" s="26" t="n">
        <v>2</v>
      </c>
      <c r="B124" s="26" t="s">
        <v>74</v>
      </c>
      <c r="C124" s="26" t="s">
        <v>89</v>
      </c>
      <c r="D124" s="27" t="s">
        <v>386</v>
      </c>
      <c r="E124" s="28" t="s">
        <v>57</v>
      </c>
      <c r="F124" s="26" t="s">
        <v>57</v>
      </c>
      <c r="G124" s="26" t="s">
        <v>190</v>
      </c>
      <c r="H124" s="28" t="n">
        <v>9</v>
      </c>
      <c r="I124" s="29" t="n">
        <v>0</v>
      </c>
      <c r="J124" s="29" t="n">
        <f aca="false">ROUND(H124*I124,2)</f>
        <v>0</v>
      </c>
      <c r="K124" s="29" t="n">
        <f aca="false">ROUND(J124*'Основания и цены'!$B$4,2)</f>
        <v>0</v>
      </c>
      <c r="L124" s="29" t="n">
        <f aca="false">Материалы!G50</f>
        <v>315.18</v>
      </c>
      <c r="M124" s="29" t="n">
        <f aca="false">ROUND(H124*L124,2)</f>
        <v>2836.62</v>
      </c>
      <c r="N124" s="29" t="n">
        <v>0</v>
      </c>
      <c r="O124" s="29" t="n">
        <f aca="false">ROUND(H124*N124,2)</f>
        <v>0</v>
      </c>
      <c r="P124" s="29" t="n">
        <v>0</v>
      </c>
      <c r="Q124" s="29" t="n">
        <f aca="false">ROUND(H124*P124,2)</f>
        <v>0</v>
      </c>
      <c r="R124" s="29" t="n">
        <f aca="false">ROUND(J124+K124+M124+O124+Q124,2)</f>
        <v>2836.62</v>
      </c>
      <c r="S124" s="26" t="s">
        <v>59</v>
      </c>
      <c r="T124" s="29" t="n">
        <f aca="false">IF(S124="УЧТЕНО",R124,0)</f>
        <v>2836.62</v>
      </c>
      <c r="U124" s="27" t="s">
        <v>387</v>
      </c>
    </row>
    <row r="125" customFormat="false" ht="21.75" hidden="false" customHeight="true" outlineLevel="0" collapsed="false">
      <c r="A125" s="26" t="n">
        <v>2</v>
      </c>
      <c r="B125" s="26" t="s">
        <v>74</v>
      </c>
      <c r="C125" s="26" t="s">
        <v>92</v>
      </c>
      <c r="D125" s="27" t="s">
        <v>388</v>
      </c>
      <c r="E125" s="28" t="n">
        <v>1.1798</v>
      </c>
      <c r="F125" s="26" t="s">
        <v>116</v>
      </c>
      <c r="G125" s="26" t="s">
        <v>116</v>
      </c>
      <c r="H125" s="28" t="n">
        <v>1.40868</v>
      </c>
      <c r="I125" s="29" t="n">
        <v>0</v>
      </c>
      <c r="J125" s="29" t="n">
        <f aca="false">ROUND(H125*I125,2)</f>
        <v>0</v>
      </c>
      <c r="K125" s="29" t="n">
        <f aca="false">ROUND(J125*'Основания и цены'!$B$4,2)</f>
        <v>0</v>
      </c>
      <c r="L125" s="29" t="n">
        <f aca="false">Материалы!G51</f>
        <v>75840</v>
      </c>
      <c r="M125" s="29" t="n">
        <f aca="false">ROUND(H125*L125,2)</f>
        <v>106834.29</v>
      </c>
      <c r="N125" s="29" t="n">
        <v>0</v>
      </c>
      <c r="O125" s="29" t="n">
        <f aca="false">ROUND(H125*N125,2)</f>
        <v>0</v>
      </c>
      <c r="P125" s="29" t="n">
        <v>0</v>
      </c>
      <c r="Q125" s="29" t="n">
        <f aca="false">ROUND(H125*P125,2)</f>
        <v>0</v>
      </c>
      <c r="R125" s="29" t="n">
        <f aca="false">ROUND(J125+K125+M125+O125+Q125,2)</f>
        <v>106834.29</v>
      </c>
      <c r="S125" s="26" t="s">
        <v>59</v>
      </c>
      <c r="T125" s="29" t="n">
        <f aca="false">IF(S125="УЧТЕНО",R125,0)</f>
        <v>106834.29</v>
      </c>
      <c r="U125" s="27" t="s">
        <v>389</v>
      </c>
    </row>
    <row r="126" customFormat="false" ht="21.75" hidden="false" customHeight="true" outlineLevel="0" collapsed="false">
      <c r="A126" s="26" t="n">
        <v>2</v>
      </c>
      <c r="B126" s="26" t="s">
        <v>74</v>
      </c>
      <c r="C126" s="26" t="s">
        <v>95</v>
      </c>
      <c r="D126" s="27" t="s">
        <v>390</v>
      </c>
      <c r="E126" s="28" t="n">
        <v>0.1435</v>
      </c>
      <c r="F126" s="26" t="s">
        <v>116</v>
      </c>
      <c r="G126" s="26" t="s">
        <v>116</v>
      </c>
      <c r="H126" s="28" t="n">
        <v>0.2088</v>
      </c>
      <c r="I126" s="29" t="n">
        <v>0</v>
      </c>
      <c r="J126" s="29" t="n">
        <f aca="false">ROUND(H126*I126,2)</f>
        <v>0</v>
      </c>
      <c r="K126" s="29" t="n">
        <f aca="false">ROUND(J126*'Основания и цены'!$B$4,2)</f>
        <v>0</v>
      </c>
      <c r="L126" s="29" t="n">
        <f aca="false">Материалы!G52</f>
        <v>75840</v>
      </c>
      <c r="M126" s="29" t="n">
        <f aca="false">ROUND(H126*L126,2)</f>
        <v>15835.39</v>
      </c>
      <c r="N126" s="29" t="n">
        <v>0</v>
      </c>
      <c r="O126" s="29" t="n">
        <f aca="false">ROUND(H126*N126,2)</f>
        <v>0</v>
      </c>
      <c r="P126" s="29" t="n">
        <v>0</v>
      </c>
      <c r="Q126" s="29" t="n">
        <f aca="false">ROUND(H126*P126,2)</f>
        <v>0</v>
      </c>
      <c r="R126" s="29" t="n">
        <f aca="false">ROUND(J126+K126+M126+O126+Q126,2)</f>
        <v>15835.39</v>
      </c>
      <c r="S126" s="26" t="s">
        <v>59</v>
      </c>
      <c r="T126" s="29" t="n">
        <f aca="false">IF(S126="УЧТЕНО",R126,0)</f>
        <v>15835.39</v>
      </c>
      <c r="U126" s="27" t="s">
        <v>391</v>
      </c>
    </row>
    <row r="127" customFormat="false" ht="21.75" hidden="false" customHeight="true" outlineLevel="0" collapsed="false">
      <c r="A127" s="26" t="n">
        <v>2</v>
      </c>
      <c r="B127" s="26" t="s">
        <v>74</v>
      </c>
      <c r="C127" s="26" t="s">
        <v>98</v>
      </c>
      <c r="D127" s="27" t="s">
        <v>392</v>
      </c>
      <c r="E127" s="28" t="s">
        <v>57</v>
      </c>
      <c r="F127" s="26" t="s">
        <v>57</v>
      </c>
      <c r="G127" s="26" t="s">
        <v>180</v>
      </c>
      <c r="H127" s="28" t="n">
        <v>2</v>
      </c>
      <c r="I127" s="29" t="n">
        <v>0</v>
      </c>
      <c r="J127" s="29" t="n">
        <f aca="false">ROUND(H127*I127,2)</f>
        <v>0</v>
      </c>
      <c r="K127" s="29" t="n">
        <f aca="false">ROUND(J127*'Основания и цены'!$B$4,2)</f>
        <v>0</v>
      </c>
      <c r="L127" s="29" t="n">
        <f aca="false">Материалы!G53</f>
        <v>1561.98</v>
      </c>
      <c r="M127" s="29" t="n">
        <f aca="false">ROUND(H127*L127,2)</f>
        <v>3123.96</v>
      </c>
      <c r="N127" s="29" t="n">
        <v>0</v>
      </c>
      <c r="O127" s="29" t="n">
        <f aca="false">ROUND(H127*N127,2)</f>
        <v>0</v>
      </c>
      <c r="P127" s="29" t="n">
        <v>0</v>
      </c>
      <c r="Q127" s="29" t="n">
        <f aca="false">ROUND(H127*P127,2)</f>
        <v>0</v>
      </c>
      <c r="R127" s="29" t="n">
        <f aca="false">ROUND(J127+K127+M127+O127+Q127,2)</f>
        <v>3123.96</v>
      </c>
      <c r="S127" s="26" t="s">
        <v>59</v>
      </c>
      <c r="T127" s="29" t="n">
        <f aca="false">IF(S127="УЧТЕНО",R127,0)</f>
        <v>3123.96</v>
      </c>
      <c r="U127" s="27" t="s">
        <v>393</v>
      </c>
    </row>
    <row r="128" customFormat="false" ht="21.75" hidden="false" customHeight="true" outlineLevel="0" collapsed="false">
      <c r="A128" s="26" t="n">
        <v>2</v>
      </c>
      <c r="B128" s="26" t="s">
        <v>74</v>
      </c>
      <c r="C128" s="26" t="s">
        <v>101</v>
      </c>
      <c r="D128" s="27" t="s">
        <v>394</v>
      </c>
      <c r="E128" s="28" t="s">
        <v>57</v>
      </c>
      <c r="F128" s="26" t="s">
        <v>57</v>
      </c>
      <c r="G128" s="26" t="s">
        <v>180</v>
      </c>
      <c r="H128" s="28" t="n">
        <v>3</v>
      </c>
      <c r="I128" s="29" t="n">
        <v>0</v>
      </c>
      <c r="J128" s="29" t="n">
        <f aca="false">ROUND(H128*I128,2)</f>
        <v>0</v>
      </c>
      <c r="K128" s="29" t="n">
        <f aca="false">ROUND(J128*'Основания и цены'!$B$4,2)</f>
        <v>0</v>
      </c>
      <c r="L128" s="29" t="n">
        <f aca="false">Материалы!G54</f>
        <v>2347.87</v>
      </c>
      <c r="M128" s="29" t="n">
        <f aca="false">ROUND(H128*L128,2)</f>
        <v>7043.61</v>
      </c>
      <c r="N128" s="29" t="n">
        <v>0</v>
      </c>
      <c r="O128" s="29" t="n">
        <f aca="false">ROUND(H128*N128,2)</f>
        <v>0</v>
      </c>
      <c r="P128" s="29" t="n">
        <v>0</v>
      </c>
      <c r="Q128" s="29" t="n">
        <f aca="false">ROUND(H128*P128,2)</f>
        <v>0</v>
      </c>
      <c r="R128" s="29" t="n">
        <f aca="false">ROUND(J128+K128+M128+O128+Q128,2)</f>
        <v>7043.61</v>
      </c>
      <c r="S128" s="26" t="s">
        <v>59</v>
      </c>
      <c r="T128" s="29" t="n">
        <f aca="false">IF(S128="УЧТЕНО",R128,0)</f>
        <v>7043.61</v>
      </c>
      <c r="U128" s="27" t="s">
        <v>395</v>
      </c>
    </row>
    <row r="129" customFormat="false" ht="21.75" hidden="false" customHeight="true" outlineLevel="0" collapsed="false">
      <c r="A129" s="26" t="n">
        <v>2</v>
      </c>
      <c r="B129" s="26" t="s">
        <v>74</v>
      </c>
      <c r="C129" s="26" t="s">
        <v>104</v>
      </c>
      <c r="D129" s="27" t="s">
        <v>396</v>
      </c>
      <c r="E129" s="28" t="s">
        <v>57</v>
      </c>
      <c r="F129" s="26" t="s">
        <v>57</v>
      </c>
      <c r="G129" s="26" t="s">
        <v>180</v>
      </c>
      <c r="H129" s="28" t="n">
        <v>2</v>
      </c>
      <c r="I129" s="29" t="n">
        <v>0</v>
      </c>
      <c r="J129" s="29" t="n">
        <f aca="false">ROUND(H129*I129,2)</f>
        <v>0</v>
      </c>
      <c r="K129" s="29" t="n">
        <f aca="false">ROUND(J129*'Основания и цены'!$B$4,2)</f>
        <v>0</v>
      </c>
      <c r="L129" s="29" t="n">
        <f aca="false">Материалы!G55</f>
        <v>2259.47</v>
      </c>
      <c r="M129" s="29" t="n">
        <f aca="false">ROUND(H129*L129,2)</f>
        <v>4518.94</v>
      </c>
      <c r="N129" s="29" t="n">
        <v>0</v>
      </c>
      <c r="O129" s="29" t="n">
        <f aca="false">ROUND(H129*N129,2)</f>
        <v>0</v>
      </c>
      <c r="P129" s="29" t="n">
        <v>0</v>
      </c>
      <c r="Q129" s="29" t="n">
        <f aca="false">ROUND(H129*P129,2)</f>
        <v>0</v>
      </c>
      <c r="R129" s="29" t="n">
        <f aca="false">ROUND(J129+K129+M129+O129+Q129,2)</f>
        <v>4518.94</v>
      </c>
      <c r="S129" s="26" t="s">
        <v>59</v>
      </c>
      <c r="T129" s="29" t="n">
        <f aca="false">IF(S129="УЧТЕНО",R129,0)</f>
        <v>4518.94</v>
      </c>
      <c r="U129" s="27" t="s">
        <v>397</v>
      </c>
    </row>
    <row r="130" customFormat="false" ht="21.75" hidden="false" customHeight="true" outlineLevel="0" collapsed="false">
      <c r="A130" s="26" t="n">
        <v>2</v>
      </c>
      <c r="B130" s="26" t="s">
        <v>74</v>
      </c>
      <c r="C130" s="26" t="s">
        <v>107</v>
      </c>
      <c r="D130" s="27" t="s">
        <v>398</v>
      </c>
      <c r="E130" s="28" t="s">
        <v>57</v>
      </c>
      <c r="F130" s="26" t="s">
        <v>57</v>
      </c>
      <c r="G130" s="26" t="s">
        <v>180</v>
      </c>
      <c r="H130" s="28" t="n">
        <v>2</v>
      </c>
      <c r="I130" s="29" t="n">
        <v>0</v>
      </c>
      <c r="J130" s="29" t="n">
        <f aca="false">ROUND(H130*I130,2)</f>
        <v>0</v>
      </c>
      <c r="K130" s="29" t="n">
        <f aca="false">ROUND(J130*'Основания и цены'!$B$4,2)</f>
        <v>0</v>
      </c>
      <c r="L130" s="29" t="n">
        <f aca="false">Материалы!G56</f>
        <v>2848.9</v>
      </c>
      <c r="M130" s="29" t="n">
        <f aca="false">ROUND(H130*L130,2)</f>
        <v>5697.8</v>
      </c>
      <c r="N130" s="29" t="n">
        <v>0</v>
      </c>
      <c r="O130" s="29" t="n">
        <f aca="false">ROUND(H130*N130,2)</f>
        <v>0</v>
      </c>
      <c r="P130" s="29" t="n">
        <v>0</v>
      </c>
      <c r="Q130" s="29" t="n">
        <f aca="false">ROUND(H130*P130,2)</f>
        <v>0</v>
      </c>
      <c r="R130" s="29" t="n">
        <f aca="false">ROUND(J130+K130+M130+O130+Q130,2)</f>
        <v>5697.8</v>
      </c>
      <c r="S130" s="26" t="s">
        <v>59</v>
      </c>
      <c r="T130" s="29" t="n">
        <f aca="false">IF(S130="УЧТЕНО",R130,0)</f>
        <v>5697.8</v>
      </c>
      <c r="U130" s="27" t="s">
        <v>399</v>
      </c>
    </row>
    <row r="131" customFormat="false" ht="21.75" hidden="false" customHeight="true" outlineLevel="0" collapsed="false">
      <c r="A131" s="26" t="n">
        <v>2</v>
      </c>
      <c r="B131" s="26" t="s">
        <v>74</v>
      </c>
      <c r="C131" s="26" t="s">
        <v>110</v>
      </c>
      <c r="D131" s="27" t="s">
        <v>211</v>
      </c>
      <c r="E131" s="28" t="s">
        <v>57</v>
      </c>
      <c r="F131" s="26" t="s">
        <v>57</v>
      </c>
      <c r="G131" s="26" t="s">
        <v>212</v>
      </c>
      <c r="H131" s="28" t="n">
        <v>1</v>
      </c>
      <c r="I131" s="29" t="n">
        <v>0</v>
      </c>
      <c r="J131" s="29" t="n">
        <f aca="false">ROUND(H131*I131,2)</f>
        <v>0</v>
      </c>
      <c r="K131" s="29" t="n">
        <f aca="false">ROUND(J131*'Основания и цены'!$B$4,2)</f>
        <v>0</v>
      </c>
      <c r="L131" s="29" t="n">
        <f aca="false">Материалы!G57</f>
        <v>2949.41</v>
      </c>
      <c r="M131" s="29" t="n">
        <f aca="false">ROUND(H131*L131,2)</f>
        <v>2949.41</v>
      </c>
      <c r="N131" s="29" t="n">
        <v>0</v>
      </c>
      <c r="O131" s="29" t="n">
        <f aca="false">ROUND(H131*N131,2)</f>
        <v>0</v>
      </c>
      <c r="P131" s="29" t="n">
        <v>0</v>
      </c>
      <c r="Q131" s="29" t="n">
        <f aca="false">ROUND(H131*P131,2)</f>
        <v>0</v>
      </c>
      <c r="R131" s="29" t="n">
        <f aca="false">ROUND(J131+K131+M131+O131+Q131,2)</f>
        <v>2949.41</v>
      </c>
      <c r="S131" s="26" t="s">
        <v>59</v>
      </c>
      <c r="T131" s="29" t="n">
        <f aca="false">IF(S131="УЧТЕНО",R131,0)</f>
        <v>2949.41</v>
      </c>
      <c r="U131" s="27" t="s">
        <v>400</v>
      </c>
    </row>
    <row r="132" customFormat="false" ht="21.75" hidden="false" customHeight="true" outlineLevel="0" collapsed="false">
      <c r="A132" s="26" t="n">
        <v>2</v>
      </c>
      <c r="B132" s="26" t="s">
        <v>74</v>
      </c>
      <c r="C132" s="26" t="s">
        <v>114</v>
      </c>
      <c r="D132" s="27" t="s">
        <v>401</v>
      </c>
      <c r="E132" s="28" t="s">
        <v>57</v>
      </c>
      <c r="F132" s="26" t="s">
        <v>57</v>
      </c>
      <c r="G132" s="26" t="s">
        <v>63</v>
      </c>
      <c r="H132" s="28" t="n">
        <v>1</v>
      </c>
      <c r="I132" s="29" t="n">
        <v>0</v>
      </c>
      <c r="J132" s="29" t="n">
        <f aca="false">ROUND(H132*I132,2)</f>
        <v>0</v>
      </c>
      <c r="K132" s="29" t="n">
        <f aca="false">ROUND(J132*'Основания и цены'!$B$4,2)</f>
        <v>0</v>
      </c>
      <c r="L132" s="29" t="n">
        <v>0</v>
      </c>
      <c r="M132" s="29" t="n">
        <f aca="false">ROUND(H132*L132,2)</f>
        <v>0</v>
      </c>
      <c r="N132" s="29" t="n">
        <v>0</v>
      </c>
      <c r="O132" s="29" t="n">
        <f aca="false">ROUND(H132*N132,2)</f>
        <v>0</v>
      </c>
      <c r="P132" s="29" t="n">
        <v>24000</v>
      </c>
      <c r="Q132" s="29" t="n">
        <f aca="false">ROUND(H132*P132,2)</f>
        <v>24000</v>
      </c>
      <c r="R132" s="29" t="n">
        <f aca="false">ROUND(J132+K132+M132+O132+Q132,2)</f>
        <v>24000</v>
      </c>
      <c r="S132" s="26" t="s">
        <v>59</v>
      </c>
      <c r="T132" s="29" t="n">
        <f aca="false">IF(S132="УЧТЕНО",R132,0)</f>
        <v>24000</v>
      </c>
      <c r="U132" s="27" t="s">
        <v>402</v>
      </c>
    </row>
    <row r="133" customFormat="false" ht="21.75" hidden="false" customHeight="true" outlineLevel="0" collapsed="false">
      <c r="A133" s="26" t="n">
        <v>2</v>
      </c>
      <c r="B133" s="26" t="s">
        <v>74</v>
      </c>
      <c r="C133" s="26" t="s">
        <v>118</v>
      </c>
      <c r="D133" s="27" t="s">
        <v>403</v>
      </c>
      <c r="E133" s="28" t="s">
        <v>57</v>
      </c>
      <c r="F133" s="26" t="s">
        <v>57</v>
      </c>
      <c r="G133" s="26" t="s">
        <v>63</v>
      </c>
      <c r="H133" s="28" t="n">
        <v>1</v>
      </c>
      <c r="I133" s="29" t="n">
        <v>0</v>
      </c>
      <c r="J133" s="29" t="n">
        <f aca="false">ROUND(H133*I133,2)</f>
        <v>0</v>
      </c>
      <c r="K133" s="29" t="n">
        <f aca="false">ROUND(J133*'Основания и цены'!$B$4,2)</f>
        <v>0</v>
      </c>
      <c r="L133" s="29" t="n">
        <v>0</v>
      </c>
      <c r="M133" s="29" t="n">
        <f aca="false">ROUND(H133*L133,2)</f>
        <v>0</v>
      </c>
      <c r="N133" s="29" t="n">
        <v>0</v>
      </c>
      <c r="O133" s="29" t="n">
        <f aca="false">ROUND(H133*N133,2)</f>
        <v>0</v>
      </c>
      <c r="P133" s="29" t="n">
        <v>24000</v>
      </c>
      <c r="Q133" s="29" t="n">
        <f aca="false">ROUND(H133*P133,2)</f>
        <v>24000</v>
      </c>
      <c r="R133" s="29" t="n">
        <f aca="false">ROUND(J133+K133+M133+O133+Q133,2)</f>
        <v>24000</v>
      </c>
      <c r="S133" s="26" t="s">
        <v>59</v>
      </c>
      <c r="T133" s="29" t="n">
        <f aca="false">IF(S133="УЧТЕНО",R133,0)</f>
        <v>24000</v>
      </c>
      <c r="U133" s="27" t="s">
        <v>404</v>
      </c>
    </row>
    <row r="134" customFormat="false" ht="21.75" hidden="false" customHeight="true" outlineLevel="0" collapsed="false">
      <c r="A134" s="26" t="n">
        <v>2</v>
      </c>
      <c r="B134" s="26" t="s">
        <v>74</v>
      </c>
      <c r="C134" s="26" t="s">
        <v>121</v>
      </c>
      <c r="D134" s="27" t="s">
        <v>405</v>
      </c>
      <c r="E134" s="28" t="s">
        <v>57</v>
      </c>
      <c r="F134" s="26" t="s">
        <v>57</v>
      </c>
      <c r="G134" s="26" t="s">
        <v>63</v>
      </c>
      <c r="H134" s="28" t="n">
        <v>1</v>
      </c>
      <c r="I134" s="29" t="n">
        <v>0</v>
      </c>
      <c r="J134" s="29" t="n">
        <f aca="false">ROUND(H134*I134,2)</f>
        <v>0</v>
      </c>
      <c r="K134" s="29" t="n">
        <f aca="false">ROUND(J134*'Основания и цены'!$B$4,2)</f>
        <v>0</v>
      </c>
      <c r="L134" s="29" t="n">
        <v>0</v>
      </c>
      <c r="M134" s="29" t="n">
        <f aca="false">ROUND(H134*L134,2)</f>
        <v>0</v>
      </c>
      <c r="N134" s="29" t="n">
        <v>0</v>
      </c>
      <c r="O134" s="29" t="n">
        <f aca="false">ROUND(H134*N134,2)</f>
        <v>0</v>
      </c>
      <c r="P134" s="29" t="n">
        <v>24000</v>
      </c>
      <c r="Q134" s="29" t="n">
        <f aca="false">ROUND(H134*P134,2)</f>
        <v>24000</v>
      </c>
      <c r="R134" s="29" t="n">
        <f aca="false">ROUND(J134+K134+M134+O134+Q134,2)</f>
        <v>24000</v>
      </c>
      <c r="S134" s="26" t="s">
        <v>59</v>
      </c>
      <c r="T134" s="29" t="n">
        <f aca="false">IF(S134="УЧТЕНО",R134,0)</f>
        <v>24000</v>
      </c>
      <c r="U134" s="27" t="s">
        <v>406</v>
      </c>
    </row>
    <row r="135" customFormat="false" ht="15" hidden="false" customHeight="true" outlineLevel="0" collapsed="false">
      <c r="A135" s="30"/>
      <c r="B135" s="30"/>
      <c r="C135" s="30"/>
      <c r="D135" s="30" t="s">
        <v>223</v>
      </c>
      <c r="E135" s="30"/>
      <c r="F135" s="30"/>
      <c r="G135" s="30"/>
      <c r="H135" s="30"/>
      <c r="I135" s="30"/>
      <c r="J135" s="31" t="n">
        <f aca="false">ROUND(SUMIF($S$120:$S$134,"УЧТЕНО",$J$120:$J$134),2)</f>
        <v>68380.96</v>
      </c>
      <c r="K135" s="31" t="n">
        <f aca="false">ROUND(SUMIF($S$120:$S$134,"УЧТЕНО",$K$120:$K$134),2)</f>
        <v>20514.28</v>
      </c>
      <c r="L135" s="30"/>
      <c r="M135" s="31" t="n">
        <f aca="false">ROUND(SUMIF($S$120:$S$134,"УЧТЕНО",$M$120:$M$134),2)</f>
        <v>150420.06</v>
      </c>
      <c r="N135" s="30"/>
      <c r="O135" s="31" t="n">
        <f aca="false">ROUND(SUMIF($S$120:$S$134,"УЧТЕНО",$O$120:$O$134),2)</f>
        <v>0</v>
      </c>
      <c r="P135" s="30"/>
      <c r="Q135" s="31" t="n">
        <f aca="false">ROUND(SUMIF($S$120:$S$134,"УЧТЕНО",$Q$120:$Q$134),2)</f>
        <v>72000</v>
      </c>
      <c r="R135" s="31" t="n">
        <f aca="false">ROUND(J135+K135+M135+O135+Q135,2)</f>
        <v>311315.3</v>
      </c>
      <c r="S135" s="30" t="s">
        <v>72</v>
      </c>
      <c r="T135" s="31" t="n">
        <f aca="false">R135</f>
        <v>311315.3</v>
      </c>
      <c r="U135" s="30"/>
    </row>
    <row r="136" customFormat="false" ht="42" hidden="false" customHeight="true" outlineLevel="0" collapsed="false">
      <c r="A136" s="24" t="s">
        <v>407</v>
      </c>
      <c r="B136" s="24"/>
      <c r="C136" s="24"/>
      <c r="D136" s="24"/>
      <c r="E136" s="24"/>
      <c r="F136" s="24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</row>
    <row r="137" customFormat="false" ht="21.75" hidden="false" customHeight="true" outlineLevel="0" collapsed="false">
      <c r="A137" s="26" t="n">
        <v>2</v>
      </c>
      <c r="B137" s="26" t="s">
        <v>225</v>
      </c>
      <c r="C137" s="26" t="s">
        <v>226</v>
      </c>
      <c r="D137" s="27" t="s">
        <v>408</v>
      </c>
      <c r="E137" s="28" t="s">
        <v>57</v>
      </c>
      <c r="F137" s="26" t="s">
        <v>57</v>
      </c>
      <c r="G137" s="26" t="s">
        <v>135</v>
      </c>
      <c r="H137" s="28" t="n">
        <v>243.6</v>
      </c>
      <c r="I137" s="29" t="n">
        <v>286.15</v>
      </c>
      <c r="J137" s="29" t="n">
        <f aca="false">ROUND(H137*I137,2)</f>
        <v>69706.14</v>
      </c>
      <c r="K137" s="29" t="n">
        <f aca="false">ROUND(J137*'Основания и цены'!$B$4,2)</f>
        <v>20911.84</v>
      </c>
      <c r="L137" s="29" t="n">
        <v>0</v>
      </c>
      <c r="M137" s="29" t="n">
        <f aca="false">ROUND(H137*L137,2)</f>
        <v>0</v>
      </c>
      <c r="N137" s="29" t="n">
        <v>0</v>
      </c>
      <c r="O137" s="29" t="n">
        <f aca="false">ROUND(H137*N137,2)</f>
        <v>0</v>
      </c>
      <c r="P137" s="29" t="n">
        <v>0</v>
      </c>
      <c r="Q137" s="29" t="n">
        <f aca="false">ROUND(H137*P137,2)</f>
        <v>0</v>
      </c>
      <c r="R137" s="29" t="n">
        <f aca="false">ROUND(J137+K137+M137+O137+Q137,2)</f>
        <v>90617.98</v>
      </c>
      <c r="S137" s="26" t="s">
        <v>59</v>
      </c>
      <c r="T137" s="29" t="n">
        <f aca="false">IF(S137="УЧТЕНО",R137,0)</f>
        <v>90617.98</v>
      </c>
      <c r="U137" s="27" t="s">
        <v>409</v>
      </c>
    </row>
    <row r="138" customFormat="false" ht="21.75" hidden="false" customHeight="true" outlineLevel="0" collapsed="false">
      <c r="A138" s="26" t="n">
        <v>2</v>
      </c>
      <c r="B138" s="26" t="s">
        <v>225</v>
      </c>
      <c r="C138" s="26" t="s">
        <v>229</v>
      </c>
      <c r="D138" s="27" t="s">
        <v>410</v>
      </c>
      <c r="E138" s="28" t="s">
        <v>57</v>
      </c>
      <c r="F138" s="26" t="s">
        <v>57</v>
      </c>
      <c r="G138" s="26" t="s">
        <v>135</v>
      </c>
      <c r="H138" s="28" t="n">
        <v>121.8</v>
      </c>
      <c r="I138" s="29" t="n">
        <v>323.08</v>
      </c>
      <c r="J138" s="29" t="n">
        <f aca="false">ROUND(H138*I138,2)</f>
        <v>39351.14</v>
      </c>
      <c r="K138" s="29" t="n">
        <f aca="false">ROUND(J138*'Основания и цены'!$B$4,2)</f>
        <v>11805.34</v>
      </c>
      <c r="L138" s="29" t="n">
        <v>0</v>
      </c>
      <c r="M138" s="29" t="n">
        <f aca="false">ROUND(H138*L138,2)</f>
        <v>0</v>
      </c>
      <c r="N138" s="29" t="n">
        <v>0</v>
      </c>
      <c r="O138" s="29" t="n">
        <f aca="false">ROUND(H138*N138,2)</f>
        <v>0</v>
      </c>
      <c r="P138" s="29" t="n">
        <v>0</v>
      </c>
      <c r="Q138" s="29" t="n">
        <f aca="false">ROUND(H138*P138,2)</f>
        <v>0</v>
      </c>
      <c r="R138" s="29" t="n">
        <f aca="false">ROUND(J138+K138+M138+O138+Q138,2)</f>
        <v>51156.48</v>
      </c>
      <c r="S138" s="26" t="s">
        <v>59</v>
      </c>
      <c r="T138" s="29" t="n">
        <f aca="false">IF(S138="УЧТЕНО",R138,0)</f>
        <v>51156.48</v>
      </c>
      <c r="U138" s="27" t="s">
        <v>411</v>
      </c>
    </row>
    <row r="139" customFormat="false" ht="21.75" hidden="false" customHeight="true" outlineLevel="0" collapsed="false">
      <c r="A139" s="26" t="n">
        <v>2</v>
      </c>
      <c r="B139" s="26" t="s">
        <v>225</v>
      </c>
      <c r="C139" s="26" t="s">
        <v>231</v>
      </c>
      <c r="D139" s="27" t="s">
        <v>412</v>
      </c>
      <c r="E139" s="28" t="s">
        <v>57</v>
      </c>
      <c r="F139" s="26" t="s">
        <v>57</v>
      </c>
      <c r="G139" s="26" t="s">
        <v>135</v>
      </c>
      <c r="H139" s="28" t="n">
        <v>121.8</v>
      </c>
      <c r="I139" s="29" t="n">
        <v>350.77</v>
      </c>
      <c r="J139" s="29" t="n">
        <f aca="false">ROUND(H139*I139,2)</f>
        <v>42723.79</v>
      </c>
      <c r="K139" s="29" t="n">
        <f aca="false">ROUND(J139*'Основания и цены'!$B$4,2)</f>
        <v>12817.14</v>
      </c>
      <c r="L139" s="29" t="n">
        <v>0</v>
      </c>
      <c r="M139" s="29" t="n">
        <f aca="false">ROUND(H139*L139,2)</f>
        <v>0</v>
      </c>
      <c r="N139" s="29" t="n">
        <v>0</v>
      </c>
      <c r="O139" s="29" t="n">
        <f aca="false">ROUND(H139*N139,2)</f>
        <v>0</v>
      </c>
      <c r="P139" s="29" t="n">
        <v>0</v>
      </c>
      <c r="Q139" s="29" t="n">
        <f aca="false">ROUND(H139*P139,2)</f>
        <v>0</v>
      </c>
      <c r="R139" s="29" t="n">
        <f aca="false">ROUND(J139+K139+M139+O139+Q139,2)</f>
        <v>55540.93</v>
      </c>
      <c r="S139" s="26" t="s">
        <v>59</v>
      </c>
      <c r="T139" s="29" t="n">
        <f aca="false">IF(S139="УЧТЕНО",R139,0)</f>
        <v>55540.93</v>
      </c>
      <c r="U139" s="27" t="s">
        <v>413</v>
      </c>
    </row>
    <row r="140" customFormat="false" ht="21.75" hidden="false" customHeight="true" outlineLevel="0" collapsed="false">
      <c r="A140" s="26" t="n">
        <v>2</v>
      </c>
      <c r="B140" s="26" t="s">
        <v>225</v>
      </c>
      <c r="C140" s="26" t="s">
        <v>234</v>
      </c>
      <c r="D140" s="27" t="s">
        <v>414</v>
      </c>
      <c r="E140" s="28" t="s">
        <v>57</v>
      </c>
      <c r="F140" s="26" t="s">
        <v>57</v>
      </c>
      <c r="G140" s="26" t="s">
        <v>349</v>
      </c>
      <c r="H140" s="28" t="n">
        <v>122</v>
      </c>
      <c r="I140" s="29" t="n">
        <v>0</v>
      </c>
      <c r="J140" s="29" t="n">
        <f aca="false">ROUND(H140*I140,2)</f>
        <v>0</v>
      </c>
      <c r="K140" s="29" t="n">
        <f aca="false">ROUND(J140*'Основания и цены'!$B$4,2)</f>
        <v>0</v>
      </c>
      <c r="L140" s="29" t="n">
        <f aca="false">Материалы!G58</f>
        <v>156</v>
      </c>
      <c r="M140" s="29" t="n">
        <f aca="false">ROUND(H140*L140,2)</f>
        <v>19032</v>
      </c>
      <c r="N140" s="29" t="n">
        <v>0</v>
      </c>
      <c r="O140" s="29" t="n">
        <f aca="false">ROUND(H140*N140,2)</f>
        <v>0</v>
      </c>
      <c r="P140" s="29" t="n">
        <v>0</v>
      </c>
      <c r="Q140" s="29" t="n">
        <f aca="false">ROUND(H140*P140,2)</f>
        <v>0</v>
      </c>
      <c r="R140" s="29" t="n">
        <f aca="false">ROUND(J140+K140+M140+O140+Q140,2)</f>
        <v>19032</v>
      </c>
      <c r="S140" s="26" t="s">
        <v>59</v>
      </c>
      <c r="T140" s="29" t="n">
        <f aca="false">IF(S140="УЧТЕНО",R140,0)</f>
        <v>19032</v>
      </c>
      <c r="U140" s="27" t="s">
        <v>415</v>
      </c>
    </row>
    <row r="141" customFormat="false" ht="21.75" hidden="false" customHeight="true" outlineLevel="0" collapsed="false">
      <c r="A141" s="26" t="n">
        <v>2</v>
      </c>
      <c r="B141" s="26" t="s">
        <v>225</v>
      </c>
      <c r="C141" s="26" t="s">
        <v>237</v>
      </c>
      <c r="D141" s="27" t="s">
        <v>416</v>
      </c>
      <c r="E141" s="28" t="n">
        <v>0.2128</v>
      </c>
      <c r="F141" s="26" t="s">
        <v>116</v>
      </c>
      <c r="G141" s="26" t="s">
        <v>116</v>
      </c>
      <c r="H141" s="28" t="n">
        <v>0.241</v>
      </c>
      <c r="I141" s="29" t="n">
        <v>0</v>
      </c>
      <c r="J141" s="29" t="n">
        <f aca="false">ROUND(H141*I141,2)</f>
        <v>0</v>
      </c>
      <c r="K141" s="29" t="n">
        <f aca="false">ROUND(J141*'Основания и цены'!$B$4,2)</f>
        <v>0</v>
      </c>
      <c r="L141" s="29" t="n">
        <f aca="false">Материалы!G59</f>
        <v>74160</v>
      </c>
      <c r="M141" s="29" t="n">
        <f aca="false">ROUND(H141*L141,2)</f>
        <v>17872.56</v>
      </c>
      <c r="N141" s="29" t="n">
        <v>0</v>
      </c>
      <c r="O141" s="29" t="n">
        <f aca="false">ROUND(H141*N141,2)</f>
        <v>0</v>
      </c>
      <c r="P141" s="29" t="n">
        <v>0</v>
      </c>
      <c r="Q141" s="29" t="n">
        <f aca="false">ROUND(H141*P141,2)</f>
        <v>0</v>
      </c>
      <c r="R141" s="29" t="n">
        <f aca="false">ROUND(J141+K141+M141+O141+Q141,2)</f>
        <v>17872.56</v>
      </c>
      <c r="S141" s="26" t="s">
        <v>59</v>
      </c>
      <c r="T141" s="29" t="n">
        <f aca="false">IF(S141="УЧТЕНО",R141,0)</f>
        <v>17872.56</v>
      </c>
      <c r="U141" s="27" t="s">
        <v>417</v>
      </c>
    </row>
    <row r="142" customFormat="false" ht="21.75" hidden="false" customHeight="true" outlineLevel="0" collapsed="false">
      <c r="A142" s="26" t="n">
        <v>2</v>
      </c>
      <c r="B142" s="26" t="s">
        <v>225</v>
      </c>
      <c r="C142" s="26" t="s">
        <v>240</v>
      </c>
      <c r="D142" s="27" t="s">
        <v>418</v>
      </c>
      <c r="E142" s="28" t="n">
        <v>0.1334</v>
      </c>
      <c r="F142" s="26" t="s">
        <v>116</v>
      </c>
      <c r="G142" s="26" t="s">
        <v>116</v>
      </c>
      <c r="H142" s="28" t="n">
        <v>0.151</v>
      </c>
      <c r="I142" s="29" t="n">
        <v>0</v>
      </c>
      <c r="J142" s="29" t="n">
        <f aca="false">ROUND(H142*I142,2)</f>
        <v>0</v>
      </c>
      <c r="K142" s="29" t="n">
        <f aca="false">ROUND(J142*'Основания и цены'!$B$4,2)</f>
        <v>0</v>
      </c>
      <c r="L142" s="29" t="n">
        <f aca="false">Материалы!G60</f>
        <v>74160</v>
      </c>
      <c r="M142" s="29" t="n">
        <f aca="false">ROUND(H142*L142,2)</f>
        <v>11198.16</v>
      </c>
      <c r="N142" s="29" t="n">
        <v>0</v>
      </c>
      <c r="O142" s="29" t="n">
        <f aca="false">ROUND(H142*N142,2)</f>
        <v>0</v>
      </c>
      <c r="P142" s="29" t="n">
        <v>0</v>
      </c>
      <c r="Q142" s="29" t="n">
        <f aca="false">ROUND(H142*P142,2)</f>
        <v>0</v>
      </c>
      <c r="R142" s="29" t="n">
        <f aca="false">ROUND(J142+K142+M142+O142+Q142,2)</f>
        <v>11198.16</v>
      </c>
      <c r="S142" s="26" t="s">
        <v>59</v>
      </c>
      <c r="T142" s="29" t="n">
        <f aca="false">IF(S142="УЧТЕНО",R142,0)</f>
        <v>11198.16</v>
      </c>
      <c r="U142" s="27" t="s">
        <v>419</v>
      </c>
    </row>
    <row r="143" customFormat="false" ht="21.75" hidden="false" customHeight="true" outlineLevel="0" collapsed="false">
      <c r="A143" s="26" t="n">
        <v>2</v>
      </c>
      <c r="B143" s="26" t="s">
        <v>225</v>
      </c>
      <c r="C143" s="26" t="s">
        <v>243</v>
      </c>
      <c r="D143" s="27" t="s">
        <v>420</v>
      </c>
      <c r="E143" s="28" t="n">
        <v>8.2</v>
      </c>
      <c r="F143" s="26" t="s">
        <v>87</v>
      </c>
      <c r="G143" s="26" t="s">
        <v>87</v>
      </c>
      <c r="H143" s="28" t="n">
        <v>9.5</v>
      </c>
      <c r="I143" s="29" t="n">
        <v>0</v>
      </c>
      <c r="J143" s="29" t="n">
        <f aca="false">ROUND(H143*I143,2)</f>
        <v>0</v>
      </c>
      <c r="K143" s="29" t="n">
        <f aca="false">ROUND(J143*'Основания и цены'!$B$4,2)</f>
        <v>0</v>
      </c>
      <c r="L143" s="29" t="n">
        <f aca="false">Материалы!G61</f>
        <v>4483.2</v>
      </c>
      <c r="M143" s="29" t="n">
        <f aca="false">ROUND(H143*L143,2)</f>
        <v>42590.4</v>
      </c>
      <c r="N143" s="29" t="n">
        <v>0</v>
      </c>
      <c r="O143" s="29" t="n">
        <f aca="false">ROUND(H143*N143,2)</f>
        <v>0</v>
      </c>
      <c r="P143" s="29" t="n">
        <v>984</v>
      </c>
      <c r="Q143" s="29" t="n">
        <f aca="false">ROUND(H143*P143,2)</f>
        <v>9348</v>
      </c>
      <c r="R143" s="29" t="n">
        <f aca="false">ROUND(J143+K143+M143+O143+Q143,2)</f>
        <v>51938.4</v>
      </c>
      <c r="S143" s="26" t="s">
        <v>59</v>
      </c>
      <c r="T143" s="29" t="n">
        <f aca="false">IF(S143="УЧТЕНО",R143,0)</f>
        <v>51938.4</v>
      </c>
      <c r="U143" s="27" t="s">
        <v>421</v>
      </c>
    </row>
    <row r="144" customFormat="false" ht="21.75" hidden="false" customHeight="true" outlineLevel="0" collapsed="false">
      <c r="A144" s="26" t="n">
        <v>2</v>
      </c>
      <c r="B144" s="26" t="s">
        <v>225</v>
      </c>
      <c r="C144" s="26" t="s">
        <v>246</v>
      </c>
      <c r="D144" s="27" t="s">
        <v>422</v>
      </c>
      <c r="E144" s="28" t="s">
        <v>57</v>
      </c>
      <c r="F144" s="26" t="s">
        <v>57</v>
      </c>
      <c r="G144" s="26" t="s">
        <v>116</v>
      </c>
      <c r="H144" s="28" t="n">
        <v>0.01</v>
      </c>
      <c r="I144" s="29" t="n">
        <v>0</v>
      </c>
      <c r="J144" s="29" t="n">
        <f aca="false">ROUND(H144*I144,2)</f>
        <v>0</v>
      </c>
      <c r="K144" s="29" t="n">
        <f aca="false">ROUND(J144*'Основания и цены'!$B$4,2)</f>
        <v>0</v>
      </c>
      <c r="L144" s="29" t="n">
        <f aca="false">Материалы!G62</f>
        <v>158080.32</v>
      </c>
      <c r="M144" s="29" t="n">
        <f aca="false">ROUND(H144*L144,2)</f>
        <v>1580.8</v>
      </c>
      <c r="N144" s="29" t="n">
        <v>0</v>
      </c>
      <c r="O144" s="29" t="n">
        <f aca="false">ROUND(H144*N144,2)</f>
        <v>0</v>
      </c>
      <c r="P144" s="29" t="n">
        <v>0</v>
      </c>
      <c r="Q144" s="29" t="n">
        <f aca="false">ROUND(H144*P144,2)</f>
        <v>0</v>
      </c>
      <c r="R144" s="29" t="n">
        <f aca="false">ROUND(J144+K144+M144+O144+Q144,2)</f>
        <v>1580.8</v>
      </c>
      <c r="S144" s="26" t="s">
        <v>59</v>
      </c>
      <c r="T144" s="29" t="n">
        <f aca="false">IF(S144="УЧТЕНО",R144,0)</f>
        <v>1580.8</v>
      </c>
      <c r="U144" s="27" t="s">
        <v>423</v>
      </c>
    </row>
    <row r="145" customFormat="false" ht="30.75" hidden="false" customHeight="true" outlineLevel="0" collapsed="false">
      <c r="A145" s="26" t="n">
        <v>2</v>
      </c>
      <c r="B145" s="26" t="s">
        <v>225</v>
      </c>
      <c r="C145" s="26" t="s">
        <v>248</v>
      </c>
      <c r="D145" s="27" t="s">
        <v>424</v>
      </c>
      <c r="E145" s="28" t="s">
        <v>57</v>
      </c>
      <c r="F145" s="26" t="s">
        <v>57</v>
      </c>
      <c r="G145" s="26" t="s">
        <v>87</v>
      </c>
      <c r="H145" s="28" t="n">
        <v>1.91</v>
      </c>
      <c r="I145" s="29" t="n">
        <v>0</v>
      </c>
      <c r="J145" s="29" t="n">
        <f aca="false">ROUND(H145*I145,2)</f>
        <v>0</v>
      </c>
      <c r="K145" s="29" t="n">
        <f aca="false">ROUND(J145*'Основания и цены'!$B$4,2)</f>
        <v>0</v>
      </c>
      <c r="L145" s="29" t="n">
        <f aca="false">Материалы!G63</f>
        <v>26400</v>
      </c>
      <c r="M145" s="29" t="n">
        <f aca="false">ROUND(H145*L145,2)</f>
        <v>50424</v>
      </c>
      <c r="N145" s="29" t="n">
        <v>0</v>
      </c>
      <c r="O145" s="29" t="n">
        <f aca="false">ROUND(H145*N145,2)</f>
        <v>0</v>
      </c>
      <c r="P145" s="29" t="n">
        <v>0</v>
      </c>
      <c r="Q145" s="29" t="n">
        <f aca="false">ROUND(H145*P145,2)</f>
        <v>0</v>
      </c>
      <c r="R145" s="29" t="n">
        <f aca="false">ROUND(J145+K145+M145+O145+Q145,2)</f>
        <v>50424</v>
      </c>
      <c r="S145" s="26" t="s">
        <v>59</v>
      </c>
      <c r="T145" s="29" t="n">
        <f aca="false">IF(S145="УЧТЕНО",R145,0)</f>
        <v>50424</v>
      </c>
      <c r="U145" s="27" t="s">
        <v>425</v>
      </c>
    </row>
    <row r="146" customFormat="false" ht="21.75" hidden="false" customHeight="true" outlineLevel="0" collapsed="false">
      <c r="A146" s="26" t="n">
        <v>2</v>
      </c>
      <c r="B146" s="26" t="s">
        <v>225</v>
      </c>
      <c r="C146" s="26" t="s">
        <v>250</v>
      </c>
      <c r="D146" s="27" t="s">
        <v>426</v>
      </c>
      <c r="E146" s="28" t="s">
        <v>57</v>
      </c>
      <c r="F146" s="26" t="s">
        <v>57</v>
      </c>
      <c r="G146" s="26" t="s">
        <v>427</v>
      </c>
      <c r="H146" s="28" t="n">
        <v>5</v>
      </c>
      <c r="I146" s="29" t="n">
        <v>0</v>
      </c>
      <c r="J146" s="29" t="n">
        <f aca="false">ROUND(H146*I146,2)</f>
        <v>0</v>
      </c>
      <c r="K146" s="29" t="n">
        <f aca="false">ROUND(J146*'Основания и цены'!$B$4,2)</f>
        <v>0</v>
      </c>
      <c r="L146" s="29" t="n">
        <f aca="false">Материалы!G64</f>
        <v>758.4</v>
      </c>
      <c r="M146" s="29" t="n">
        <f aca="false">ROUND(H146*L146,2)</f>
        <v>3792</v>
      </c>
      <c r="N146" s="29" t="n">
        <v>0</v>
      </c>
      <c r="O146" s="29" t="n">
        <f aca="false">ROUND(H146*N146,2)</f>
        <v>0</v>
      </c>
      <c r="P146" s="29" t="n">
        <v>0</v>
      </c>
      <c r="Q146" s="29" t="n">
        <f aca="false">ROUND(H146*P146,2)</f>
        <v>0</v>
      </c>
      <c r="R146" s="29" t="n">
        <f aca="false">ROUND(J146+K146+M146+O146+Q146,2)</f>
        <v>3792</v>
      </c>
      <c r="S146" s="26" t="s">
        <v>59</v>
      </c>
      <c r="T146" s="29" t="n">
        <f aca="false">IF(S146="УЧТЕНО",R146,0)</f>
        <v>3792</v>
      </c>
      <c r="U146" s="27" t="s">
        <v>428</v>
      </c>
    </row>
    <row r="147" customFormat="false" ht="21.75" hidden="false" customHeight="true" outlineLevel="0" collapsed="false">
      <c r="A147" s="26" t="n">
        <v>2</v>
      </c>
      <c r="B147" s="26" t="s">
        <v>225</v>
      </c>
      <c r="C147" s="26" t="s">
        <v>252</v>
      </c>
      <c r="D147" s="27" t="s">
        <v>211</v>
      </c>
      <c r="E147" s="28" t="s">
        <v>57</v>
      </c>
      <c r="F147" s="26" t="s">
        <v>57</v>
      </c>
      <c r="G147" s="26" t="s">
        <v>212</v>
      </c>
      <c r="H147" s="28" t="n">
        <v>1</v>
      </c>
      <c r="I147" s="29" t="n">
        <v>0</v>
      </c>
      <c r="J147" s="29" t="n">
        <f aca="false">ROUND(H147*I147,2)</f>
        <v>0</v>
      </c>
      <c r="K147" s="29" t="n">
        <f aca="false">ROUND(J147*'Основания и цены'!$B$4,2)</f>
        <v>0</v>
      </c>
      <c r="L147" s="29" t="n">
        <f aca="false">Материалы!G65</f>
        <v>2929.8</v>
      </c>
      <c r="M147" s="29" t="n">
        <f aca="false">ROUND(H147*L147,2)</f>
        <v>2929.8</v>
      </c>
      <c r="N147" s="29" t="n">
        <v>0</v>
      </c>
      <c r="O147" s="29" t="n">
        <f aca="false">ROUND(H147*N147,2)</f>
        <v>0</v>
      </c>
      <c r="P147" s="29" t="n">
        <v>0</v>
      </c>
      <c r="Q147" s="29" t="n">
        <f aca="false">ROUND(H147*P147,2)</f>
        <v>0</v>
      </c>
      <c r="R147" s="29" t="n">
        <f aca="false">ROUND(J147+K147+M147+O147+Q147,2)</f>
        <v>2929.8</v>
      </c>
      <c r="S147" s="26" t="s">
        <v>59</v>
      </c>
      <c r="T147" s="29" t="n">
        <f aca="false">IF(S147="УЧТЕНО",R147,0)</f>
        <v>2929.8</v>
      </c>
      <c r="U147" s="27" t="s">
        <v>429</v>
      </c>
    </row>
    <row r="148" customFormat="false" ht="30.75" hidden="false" customHeight="true" outlineLevel="0" collapsed="false">
      <c r="A148" s="26" t="n">
        <v>2</v>
      </c>
      <c r="B148" s="26" t="s">
        <v>225</v>
      </c>
      <c r="C148" s="26" t="s">
        <v>255</v>
      </c>
      <c r="D148" s="27" t="s">
        <v>430</v>
      </c>
      <c r="E148" s="28" t="s">
        <v>57</v>
      </c>
      <c r="F148" s="26" t="s">
        <v>57</v>
      </c>
      <c r="G148" s="26" t="s">
        <v>63</v>
      </c>
      <c r="H148" s="28" t="n">
        <v>0</v>
      </c>
      <c r="I148" s="29" t="n">
        <v>0</v>
      </c>
      <c r="J148" s="29" t="n">
        <f aca="false">ROUND(H148*I148,2)</f>
        <v>0</v>
      </c>
      <c r="K148" s="29" t="n">
        <f aca="false">ROUND(J148*'Основания и цены'!$B$4,2)</f>
        <v>0</v>
      </c>
      <c r="L148" s="29" t="n">
        <v>0</v>
      </c>
      <c r="M148" s="29" t="n">
        <f aca="false">ROUND(H148*L148,2)</f>
        <v>0</v>
      </c>
      <c r="N148" s="29" t="n">
        <v>0</v>
      </c>
      <c r="O148" s="29" t="n">
        <f aca="false">ROUND(H148*N148,2)</f>
        <v>0</v>
      </c>
      <c r="P148" s="29" t="n">
        <v>0</v>
      </c>
      <c r="Q148" s="29" t="n">
        <f aca="false">ROUND(H148*P148,2)</f>
        <v>0</v>
      </c>
      <c r="R148" s="29" t="n">
        <f aca="false">ROUND(J148+K148+M148+O148+Q148,2)</f>
        <v>0</v>
      </c>
      <c r="S148" s="26" t="s">
        <v>59</v>
      </c>
      <c r="T148" s="29" t="n">
        <f aca="false">IF(S148="УЧТЕНО",R148,0)</f>
        <v>0</v>
      </c>
      <c r="U148" s="27" t="s">
        <v>431</v>
      </c>
    </row>
    <row r="149" customFormat="false" ht="30.75" hidden="false" customHeight="true" outlineLevel="0" collapsed="false">
      <c r="A149" s="26" t="n">
        <v>2</v>
      </c>
      <c r="B149" s="26" t="s">
        <v>225</v>
      </c>
      <c r="C149" s="26" t="s">
        <v>257</v>
      </c>
      <c r="D149" s="27" t="s">
        <v>432</v>
      </c>
      <c r="E149" s="28" t="s">
        <v>57</v>
      </c>
      <c r="F149" s="26" t="s">
        <v>57</v>
      </c>
      <c r="G149" s="26" t="s">
        <v>63</v>
      </c>
      <c r="H149" s="28" t="n">
        <v>0</v>
      </c>
      <c r="I149" s="29" t="n">
        <v>0</v>
      </c>
      <c r="J149" s="29" t="n">
        <f aca="false">ROUND(H149*I149,2)</f>
        <v>0</v>
      </c>
      <c r="K149" s="29" t="n">
        <f aca="false">ROUND(J149*'Основания и цены'!$B$4,2)</f>
        <v>0</v>
      </c>
      <c r="L149" s="29" t="n">
        <v>0</v>
      </c>
      <c r="M149" s="29" t="n">
        <f aca="false">ROUND(H149*L149,2)</f>
        <v>0</v>
      </c>
      <c r="N149" s="29" t="n">
        <v>0</v>
      </c>
      <c r="O149" s="29" t="n">
        <f aca="false">ROUND(H149*N149,2)</f>
        <v>0</v>
      </c>
      <c r="P149" s="29" t="n">
        <v>0</v>
      </c>
      <c r="Q149" s="29" t="n">
        <f aca="false">ROUND(H149*P149,2)</f>
        <v>0</v>
      </c>
      <c r="R149" s="29" t="n">
        <f aca="false">ROUND(J149+K149+M149+O149+Q149,2)</f>
        <v>0</v>
      </c>
      <c r="S149" s="26" t="s">
        <v>59</v>
      </c>
      <c r="T149" s="29" t="n">
        <f aca="false">IF(S149="УЧТЕНО",R149,0)</f>
        <v>0</v>
      </c>
      <c r="U149" s="27" t="s">
        <v>433</v>
      </c>
    </row>
    <row r="150" customFormat="false" ht="30.75" hidden="false" customHeight="true" outlineLevel="0" collapsed="false">
      <c r="A150" s="26" t="n">
        <v>2</v>
      </c>
      <c r="B150" s="26" t="s">
        <v>225</v>
      </c>
      <c r="C150" s="26" t="s">
        <v>259</v>
      </c>
      <c r="D150" s="27" t="s">
        <v>434</v>
      </c>
      <c r="E150" s="28" t="s">
        <v>57</v>
      </c>
      <c r="F150" s="26" t="s">
        <v>57</v>
      </c>
      <c r="G150" s="26" t="s">
        <v>58</v>
      </c>
      <c r="H150" s="28" t="n">
        <v>0</v>
      </c>
      <c r="I150" s="29" t="n">
        <v>0</v>
      </c>
      <c r="J150" s="29" t="n">
        <f aca="false">ROUND(H150*I150,2)</f>
        <v>0</v>
      </c>
      <c r="K150" s="29" t="n">
        <f aca="false">ROUND(J150*'Основания и цены'!$B$4,2)</f>
        <v>0</v>
      </c>
      <c r="L150" s="29" t="n">
        <v>0</v>
      </c>
      <c r="M150" s="29" t="n">
        <f aca="false">ROUND(H150*L150,2)</f>
        <v>0</v>
      </c>
      <c r="N150" s="29" t="n">
        <v>0</v>
      </c>
      <c r="O150" s="29" t="n">
        <f aca="false">ROUND(H150*N150,2)</f>
        <v>0</v>
      </c>
      <c r="P150" s="29" t="n">
        <v>0</v>
      </c>
      <c r="Q150" s="29" t="n">
        <f aca="false">ROUND(H150*P150,2)</f>
        <v>0</v>
      </c>
      <c r="R150" s="29" t="n">
        <f aca="false">ROUND(J150+K150+M150+O150+Q150,2)</f>
        <v>0</v>
      </c>
      <c r="S150" s="26" t="s">
        <v>59</v>
      </c>
      <c r="T150" s="29" t="n">
        <f aca="false">IF(S150="УЧТЕНО",R150,0)</f>
        <v>0</v>
      </c>
      <c r="U150" s="27" t="s">
        <v>435</v>
      </c>
    </row>
    <row r="151" customFormat="false" ht="15" hidden="false" customHeight="true" outlineLevel="0" collapsed="false">
      <c r="A151" s="30"/>
      <c r="B151" s="30"/>
      <c r="C151" s="30"/>
      <c r="D151" s="30" t="s">
        <v>261</v>
      </c>
      <c r="E151" s="30"/>
      <c r="F151" s="30"/>
      <c r="G151" s="30"/>
      <c r="H151" s="30"/>
      <c r="I151" s="30"/>
      <c r="J151" s="31" t="n">
        <f aca="false">ROUND(SUMIF($S$137:$S$150,"УЧТЕНО",$J$137:$J$150),2)</f>
        <v>151781.07</v>
      </c>
      <c r="K151" s="31" t="n">
        <f aca="false">ROUND(SUMIF($S$137:$S$150,"УЧТЕНО",$K$137:$K$150),2)</f>
        <v>45534.32</v>
      </c>
      <c r="L151" s="30"/>
      <c r="M151" s="31" t="n">
        <f aca="false">ROUND(SUMIF($S$137:$S$150,"УЧТЕНО",$M$137:$M$150),2)</f>
        <v>149419.72</v>
      </c>
      <c r="N151" s="30"/>
      <c r="O151" s="31" t="n">
        <f aca="false">ROUND(SUMIF($S$137:$S$150,"УЧТЕНО",$O$137:$O$150),2)</f>
        <v>0</v>
      </c>
      <c r="P151" s="30"/>
      <c r="Q151" s="31" t="n">
        <f aca="false">ROUND(SUMIF($S$137:$S$150,"УЧТЕНО",$Q$137:$Q$150),2)</f>
        <v>9348</v>
      </c>
      <c r="R151" s="31" t="n">
        <f aca="false">ROUND(J151+K151+M151+O151+Q151,2)</f>
        <v>356083.11</v>
      </c>
      <c r="S151" s="30" t="s">
        <v>72</v>
      </c>
      <c r="T151" s="31" t="n">
        <f aca="false">R151</f>
        <v>356083.11</v>
      </c>
      <c r="U151" s="30"/>
    </row>
    <row r="152" customFormat="false" ht="42" hidden="false" customHeight="true" outlineLevel="0" collapsed="false">
      <c r="A152" s="24" t="s">
        <v>436</v>
      </c>
      <c r="B152" s="24"/>
      <c r="C152" s="24"/>
      <c r="D152" s="24"/>
      <c r="E152" s="24"/>
      <c r="F152" s="24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</row>
    <row r="153" customFormat="false" ht="30.75" hidden="false" customHeight="true" outlineLevel="0" collapsed="false">
      <c r="A153" s="26" t="n">
        <v>2</v>
      </c>
      <c r="B153" s="26" t="s">
        <v>263</v>
      </c>
      <c r="C153" s="26" t="s">
        <v>264</v>
      </c>
      <c r="D153" s="27" t="s">
        <v>437</v>
      </c>
      <c r="E153" s="28" t="s">
        <v>57</v>
      </c>
      <c r="F153" s="26" t="s">
        <v>57</v>
      </c>
      <c r="G153" s="26" t="s">
        <v>349</v>
      </c>
      <c r="H153" s="28" t="n">
        <v>3</v>
      </c>
      <c r="I153" s="29" t="n">
        <v>1569.23</v>
      </c>
      <c r="J153" s="29" t="n">
        <f aca="false">ROUND(H153*I153,2)</f>
        <v>4707.69</v>
      </c>
      <c r="K153" s="29" t="n">
        <f aca="false">ROUND(J153*'Основания и цены'!$B$4,2)</f>
        <v>1412.31</v>
      </c>
      <c r="L153" s="29" t="n">
        <v>0</v>
      </c>
      <c r="M153" s="29" t="n">
        <f aca="false">ROUND(H153*L153,2)</f>
        <v>0</v>
      </c>
      <c r="N153" s="29" t="n">
        <v>0</v>
      </c>
      <c r="O153" s="29" t="n">
        <f aca="false">ROUND(H153*N153,2)</f>
        <v>0</v>
      </c>
      <c r="P153" s="29" t="n">
        <v>0</v>
      </c>
      <c r="Q153" s="29" t="n">
        <f aca="false">ROUND(H153*P153,2)</f>
        <v>0</v>
      </c>
      <c r="R153" s="29" t="n">
        <f aca="false">ROUND(J153+K153+M153+O153+Q153,2)</f>
        <v>6120</v>
      </c>
      <c r="S153" s="26" t="s">
        <v>59</v>
      </c>
      <c r="T153" s="29" t="n">
        <f aca="false">IF(S153="УЧТЕНО",R153,0)</f>
        <v>6120</v>
      </c>
      <c r="U153" s="27" t="s">
        <v>438</v>
      </c>
    </row>
    <row r="154" customFormat="false" ht="30.75" hidden="false" customHeight="true" outlineLevel="0" collapsed="false">
      <c r="A154" s="26" t="n">
        <v>2</v>
      </c>
      <c r="B154" s="26" t="s">
        <v>263</v>
      </c>
      <c r="C154" s="26" t="s">
        <v>267</v>
      </c>
      <c r="D154" s="27" t="s">
        <v>439</v>
      </c>
      <c r="E154" s="28" t="s">
        <v>57</v>
      </c>
      <c r="F154" s="26" t="s">
        <v>57</v>
      </c>
      <c r="G154" s="26" t="s">
        <v>80</v>
      </c>
      <c r="H154" s="28" t="n">
        <v>78</v>
      </c>
      <c r="I154" s="29" t="n">
        <v>369.23</v>
      </c>
      <c r="J154" s="29" t="n">
        <f aca="false">ROUND(H154*I154,2)</f>
        <v>28799.94</v>
      </c>
      <c r="K154" s="29" t="n">
        <f aca="false">ROUND(J154*'Основания и цены'!$B$4,2)</f>
        <v>8639.98</v>
      </c>
      <c r="L154" s="29" t="n">
        <v>0</v>
      </c>
      <c r="M154" s="29" t="n">
        <f aca="false">ROUND(H154*L154,2)</f>
        <v>0</v>
      </c>
      <c r="N154" s="29" t="n">
        <v>0</v>
      </c>
      <c r="O154" s="29" t="n">
        <f aca="false">ROUND(H154*N154,2)</f>
        <v>0</v>
      </c>
      <c r="P154" s="29" t="n">
        <v>0</v>
      </c>
      <c r="Q154" s="29" t="n">
        <f aca="false">ROUND(H154*P154,2)</f>
        <v>0</v>
      </c>
      <c r="R154" s="29" t="n">
        <f aca="false">ROUND(J154+K154+M154+O154+Q154,2)</f>
        <v>37439.92</v>
      </c>
      <c r="S154" s="26" t="s">
        <v>59</v>
      </c>
      <c r="T154" s="29" t="n">
        <f aca="false">IF(S154="УЧТЕНО",R154,0)</f>
        <v>37439.92</v>
      </c>
      <c r="U154" s="27" t="s">
        <v>440</v>
      </c>
    </row>
    <row r="155" customFormat="false" ht="30.75" hidden="false" customHeight="true" outlineLevel="0" collapsed="false">
      <c r="A155" s="26" t="n">
        <v>2</v>
      </c>
      <c r="B155" s="26" t="s">
        <v>263</v>
      </c>
      <c r="C155" s="26" t="s">
        <v>270</v>
      </c>
      <c r="D155" s="27" t="s">
        <v>441</v>
      </c>
      <c r="E155" s="28" t="n">
        <v>13.3112</v>
      </c>
      <c r="F155" s="26" t="s">
        <v>116</v>
      </c>
      <c r="G155" s="26" t="s">
        <v>116</v>
      </c>
      <c r="H155" s="28" t="n">
        <v>14.892</v>
      </c>
      <c r="I155" s="29" t="n">
        <v>13846.15</v>
      </c>
      <c r="J155" s="29" t="n">
        <f aca="false">ROUND(H155*I155,2)</f>
        <v>206196.87</v>
      </c>
      <c r="K155" s="29" t="n">
        <f aca="false">ROUND(J155*'Основания и цены'!$B$4,2)</f>
        <v>61859.06</v>
      </c>
      <c r="L155" s="29" t="n">
        <v>0</v>
      </c>
      <c r="M155" s="29" t="n">
        <f aca="false">ROUND(H155*L155,2)</f>
        <v>0</v>
      </c>
      <c r="N155" s="29" t="n">
        <v>0</v>
      </c>
      <c r="O155" s="29" t="n">
        <f aca="false">ROUND(H155*N155,2)</f>
        <v>0</v>
      </c>
      <c r="P155" s="29" t="n">
        <v>0</v>
      </c>
      <c r="Q155" s="29" t="n">
        <f aca="false">ROUND(H155*P155,2)</f>
        <v>0</v>
      </c>
      <c r="R155" s="29" t="n">
        <f aca="false">ROUND(J155+K155+M155+O155+Q155,2)</f>
        <v>268055.93</v>
      </c>
      <c r="S155" s="26" t="s">
        <v>59</v>
      </c>
      <c r="T155" s="29" t="n">
        <f aca="false">IF(S155="УЧТЕНО",R155,0)</f>
        <v>268055.93</v>
      </c>
      <c r="U155" s="27" t="s">
        <v>442</v>
      </c>
    </row>
    <row r="156" customFormat="false" ht="21.75" hidden="false" customHeight="true" outlineLevel="0" collapsed="false">
      <c r="A156" s="26" t="n">
        <v>2</v>
      </c>
      <c r="B156" s="26" t="s">
        <v>263</v>
      </c>
      <c r="C156" s="26" t="s">
        <v>273</v>
      </c>
      <c r="D156" s="27" t="s">
        <v>443</v>
      </c>
      <c r="E156" s="28" t="n">
        <v>21.8</v>
      </c>
      <c r="F156" s="26" t="s">
        <v>87</v>
      </c>
      <c r="G156" s="26" t="s">
        <v>87</v>
      </c>
      <c r="H156" s="28" t="n">
        <v>21.82</v>
      </c>
      <c r="I156" s="29" t="n">
        <v>2400</v>
      </c>
      <c r="J156" s="29" t="n">
        <f aca="false">ROUND(H156*I156,2)</f>
        <v>52368</v>
      </c>
      <c r="K156" s="29" t="n">
        <f aca="false">ROUND(J156*'Основания и цены'!$B$4,2)</f>
        <v>15710.4</v>
      </c>
      <c r="L156" s="29" t="n">
        <v>0</v>
      </c>
      <c r="M156" s="29" t="n">
        <f aca="false">ROUND(H156*L156,2)</f>
        <v>0</v>
      </c>
      <c r="N156" s="29" t="n">
        <v>0</v>
      </c>
      <c r="O156" s="29" t="n">
        <f aca="false">ROUND(H156*N156,2)</f>
        <v>0</v>
      </c>
      <c r="P156" s="29" t="n">
        <v>0</v>
      </c>
      <c r="Q156" s="29" t="n">
        <f aca="false">ROUND(H156*P156,2)</f>
        <v>0</v>
      </c>
      <c r="R156" s="29" t="n">
        <f aca="false">ROUND(J156+K156+M156+O156+Q156,2)</f>
        <v>68078.4</v>
      </c>
      <c r="S156" s="26" t="s">
        <v>59</v>
      </c>
      <c r="T156" s="29" t="n">
        <f aca="false">IF(S156="УЧТЕНО",R156,0)</f>
        <v>68078.4</v>
      </c>
      <c r="U156" s="27" t="s">
        <v>444</v>
      </c>
    </row>
    <row r="157" customFormat="false" ht="21.75" hidden="false" customHeight="true" outlineLevel="0" collapsed="false">
      <c r="A157" s="26" t="n">
        <v>2</v>
      </c>
      <c r="B157" s="26" t="s">
        <v>263</v>
      </c>
      <c r="C157" s="26" t="s">
        <v>276</v>
      </c>
      <c r="D157" s="27" t="s">
        <v>445</v>
      </c>
      <c r="E157" s="28" t="n">
        <v>0.2889</v>
      </c>
      <c r="F157" s="26" t="s">
        <v>116</v>
      </c>
      <c r="G157" s="26" t="s">
        <v>116</v>
      </c>
      <c r="H157" s="28" t="n">
        <v>0.328</v>
      </c>
      <c r="I157" s="29" t="n">
        <v>0</v>
      </c>
      <c r="J157" s="29" t="n">
        <f aca="false">ROUND(H157*I157,2)</f>
        <v>0</v>
      </c>
      <c r="K157" s="29" t="n">
        <f aca="false">ROUND(J157*'Основания и цены'!$B$4,2)</f>
        <v>0</v>
      </c>
      <c r="L157" s="29" t="n">
        <f aca="false">Материалы!G66</f>
        <v>72240</v>
      </c>
      <c r="M157" s="29" t="n">
        <f aca="false">ROUND(H157*L157,2)</f>
        <v>23694.72</v>
      </c>
      <c r="N157" s="29" t="n">
        <v>0</v>
      </c>
      <c r="O157" s="29" t="n">
        <f aca="false">ROUND(H157*N157,2)</f>
        <v>0</v>
      </c>
      <c r="P157" s="29" t="n">
        <v>0</v>
      </c>
      <c r="Q157" s="29" t="n">
        <f aca="false">ROUND(H157*P157,2)</f>
        <v>0</v>
      </c>
      <c r="R157" s="29" t="n">
        <f aca="false">ROUND(J157+K157+M157+O157+Q157,2)</f>
        <v>23694.72</v>
      </c>
      <c r="S157" s="26" t="s">
        <v>59</v>
      </c>
      <c r="T157" s="29" t="n">
        <f aca="false">IF(S157="УЧТЕНО",R157,0)</f>
        <v>23694.72</v>
      </c>
      <c r="U157" s="27" t="s">
        <v>446</v>
      </c>
    </row>
    <row r="158" customFormat="false" ht="21.75" hidden="false" customHeight="true" outlineLevel="0" collapsed="false">
      <c r="A158" s="26" t="n">
        <v>2</v>
      </c>
      <c r="B158" s="26" t="s">
        <v>263</v>
      </c>
      <c r="C158" s="26" t="s">
        <v>279</v>
      </c>
      <c r="D158" s="27" t="s">
        <v>447</v>
      </c>
      <c r="E158" s="28" t="n">
        <v>12.8763</v>
      </c>
      <c r="F158" s="26" t="s">
        <v>116</v>
      </c>
      <c r="G158" s="26" t="s">
        <v>116</v>
      </c>
      <c r="H158" s="28" t="n">
        <v>14.544</v>
      </c>
      <c r="I158" s="29" t="n">
        <v>0</v>
      </c>
      <c r="J158" s="29" t="n">
        <f aca="false">ROUND(H158*I158,2)</f>
        <v>0</v>
      </c>
      <c r="K158" s="29" t="n">
        <f aca="false">ROUND(J158*'Основания и цены'!$B$4,2)</f>
        <v>0</v>
      </c>
      <c r="L158" s="29" t="n">
        <f aca="false">Материалы!G67</f>
        <v>72240</v>
      </c>
      <c r="M158" s="29" t="n">
        <f aca="false">ROUND(H158*L158,2)</f>
        <v>1050658.56</v>
      </c>
      <c r="N158" s="29" t="n">
        <v>0</v>
      </c>
      <c r="O158" s="29" t="n">
        <f aca="false">ROUND(H158*N158,2)</f>
        <v>0</v>
      </c>
      <c r="P158" s="29" t="n">
        <v>0</v>
      </c>
      <c r="Q158" s="29" t="n">
        <f aca="false">ROUND(H158*P158,2)</f>
        <v>0</v>
      </c>
      <c r="R158" s="29" t="n">
        <f aca="false">ROUND(J158+K158+M158+O158+Q158,2)</f>
        <v>1050658.56</v>
      </c>
      <c r="S158" s="26" t="s">
        <v>59</v>
      </c>
      <c r="T158" s="29" t="n">
        <f aca="false">IF(S158="УЧТЕНО",R158,0)</f>
        <v>1050658.56</v>
      </c>
      <c r="U158" s="27" t="s">
        <v>448</v>
      </c>
    </row>
    <row r="159" customFormat="false" ht="21.75" hidden="false" customHeight="true" outlineLevel="0" collapsed="false">
      <c r="A159" s="26" t="n">
        <v>2</v>
      </c>
      <c r="B159" s="26" t="s">
        <v>263</v>
      </c>
      <c r="C159" s="26" t="s">
        <v>449</v>
      </c>
      <c r="D159" s="27" t="s">
        <v>450</v>
      </c>
      <c r="E159" s="28" t="n">
        <v>0.1461</v>
      </c>
      <c r="F159" s="26" t="s">
        <v>116</v>
      </c>
      <c r="G159" s="26" t="s">
        <v>116</v>
      </c>
      <c r="H159" s="28" t="n">
        <v>0.02</v>
      </c>
      <c r="I159" s="29" t="n">
        <v>0</v>
      </c>
      <c r="J159" s="29" t="n">
        <f aca="false">ROUND(H159*I159,2)</f>
        <v>0</v>
      </c>
      <c r="K159" s="29" t="n">
        <f aca="false">ROUND(J159*'Основания и цены'!$B$4,2)</f>
        <v>0</v>
      </c>
      <c r="L159" s="29" t="n">
        <f aca="false">Материалы!G68</f>
        <v>73680</v>
      </c>
      <c r="M159" s="29" t="n">
        <f aca="false">ROUND(H159*L159,2)</f>
        <v>1473.6</v>
      </c>
      <c r="N159" s="29" t="n">
        <v>0</v>
      </c>
      <c r="O159" s="29" t="n">
        <f aca="false">ROUND(H159*N159,2)</f>
        <v>0</v>
      </c>
      <c r="P159" s="29" t="n">
        <v>0</v>
      </c>
      <c r="Q159" s="29" t="n">
        <f aca="false">ROUND(H159*P159,2)</f>
        <v>0</v>
      </c>
      <c r="R159" s="29" t="n">
        <f aca="false">ROUND(J159+K159+M159+O159+Q159,2)</f>
        <v>1473.6</v>
      </c>
      <c r="S159" s="26" t="s">
        <v>59</v>
      </c>
      <c r="T159" s="29" t="n">
        <f aca="false">IF(S159="УЧТЕНО",R159,0)</f>
        <v>1473.6</v>
      </c>
      <c r="U159" s="27" t="s">
        <v>451</v>
      </c>
    </row>
    <row r="160" customFormat="false" ht="21.75" hidden="false" customHeight="true" outlineLevel="0" collapsed="false">
      <c r="A160" s="26" t="n">
        <v>2</v>
      </c>
      <c r="B160" s="26" t="s">
        <v>263</v>
      </c>
      <c r="C160" s="26" t="s">
        <v>452</v>
      </c>
      <c r="D160" s="27" t="s">
        <v>453</v>
      </c>
      <c r="E160" s="28" t="s">
        <v>57</v>
      </c>
      <c r="F160" s="26" t="s">
        <v>57</v>
      </c>
      <c r="G160" s="26" t="s">
        <v>116</v>
      </c>
      <c r="H160" s="28" t="n">
        <v>0.02</v>
      </c>
      <c r="I160" s="29" t="n">
        <v>0</v>
      </c>
      <c r="J160" s="29" t="n">
        <f aca="false">ROUND(H160*I160,2)</f>
        <v>0</v>
      </c>
      <c r="K160" s="29" t="n">
        <f aca="false">ROUND(J160*'Основания и цены'!$B$4,2)</f>
        <v>0</v>
      </c>
      <c r="L160" s="29" t="n">
        <f aca="false">Материалы!G69</f>
        <v>158079.84</v>
      </c>
      <c r="M160" s="29" t="n">
        <f aca="false">ROUND(H160*L160,2)</f>
        <v>3161.6</v>
      </c>
      <c r="N160" s="29" t="n">
        <v>0</v>
      </c>
      <c r="O160" s="29" t="n">
        <f aca="false">ROUND(H160*N160,2)</f>
        <v>0</v>
      </c>
      <c r="P160" s="29" t="n">
        <v>0</v>
      </c>
      <c r="Q160" s="29" t="n">
        <f aca="false">ROUND(H160*P160,2)</f>
        <v>0</v>
      </c>
      <c r="R160" s="29" t="n">
        <f aca="false">ROUND(J160+K160+M160+O160+Q160,2)</f>
        <v>3161.6</v>
      </c>
      <c r="S160" s="26" t="s">
        <v>59</v>
      </c>
      <c r="T160" s="29" t="n">
        <f aca="false">IF(S160="УЧТЕНО",R160,0)</f>
        <v>3161.6</v>
      </c>
      <c r="U160" s="27" t="s">
        <v>454</v>
      </c>
    </row>
    <row r="161" customFormat="false" ht="21.75" hidden="false" customHeight="true" outlineLevel="0" collapsed="false">
      <c r="A161" s="26" t="n">
        <v>2</v>
      </c>
      <c r="B161" s="26" t="s">
        <v>263</v>
      </c>
      <c r="C161" s="26" t="s">
        <v>455</v>
      </c>
      <c r="D161" s="27" t="s">
        <v>456</v>
      </c>
      <c r="E161" s="28" t="n">
        <v>21.8</v>
      </c>
      <c r="F161" s="26" t="s">
        <v>87</v>
      </c>
      <c r="G161" s="26" t="s">
        <v>87</v>
      </c>
      <c r="H161" s="28" t="n">
        <v>24.5</v>
      </c>
      <c r="I161" s="29" t="n">
        <v>0</v>
      </c>
      <c r="J161" s="29" t="n">
        <f aca="false">ROUND(H161*I161,2)</f>
        <v>0</v>
      </c>
      <c r="K161" s="29" t="n">
        <f aca="false">ROUND(J161*'Основания и цены'!$B$4,2)</f>
        <v>0</v>
      </c>
      <c r="L161" s="29" t="n">
        <f aca="false">Материалы!G70</f>
        <v>4483.2</v>
      </c>
      <c r="M161" s="29" t="n">
        <f aca="false">ROUND(H161*L161,2)</f>
        <v>109838.4</v>
      </c>
      <c r="N161" s="29" t="n">
        <v>0</v>
      </c>
      <c r="O161" s="29" t="n">
        <f aca="false">ROUND(H161*N161,2)</f>
        <v>0</v>
      </c>
      <c r="P161" s="29" t="n">
        <v>984</v>
      </c>
      <c r="Q161" s="29" t="n">
        <f aca="false">ROUND(H161*P161,2)</f>
        <v>24108</v>
      </c>
      <c r="R161" s="29" t="n">
        <f aca="false">ROUND(J161+K161+M161+O161+Q161,2)</f>
        <v>133946.4</v>
      </c>
      <c r="S161" s="26" t="s">
        <v>59</v>
      </c>
      <c r="T161" s="29" t="n">
        <f aca="false">IF(S161="УЧТЕНО",R161,0)</f>
        <v>133946.4</v>
      </c>
      <c r="U161" s="27" t="s">
        <v>457</v>
      </c>
    </row>
    <row r="162" customFormat="false" ht="21.75" hidden="false" customHeight="true" outlineLevel="0" collapsed="false">
      <c r="A162" s="26" t="n">
        <v>2</v>
      </c>
      <c r="B162" s="26" t="s">
        <v>263</v>
      </c>
      <c r="C162" s="26" t="s">
        <v>458</v>
      </c>
      <c r="D162" s="27" t="s">
        <v>459</v>
      </c>
      <c r="E162" s="28" t="s">
        <v>57</v>
      </c>
      <c r="F162" s="26" t="s">
        <v>57</v>
      </c>
      <c r="G162" s="26" t="s">
        <v>460</v>
      </c>
      <c r="H162" s="28" t="n">
        <v>2</v>
      </c>
      <c r="I162" s="29" t="n">
        <v>0</v>
      </c>
      <c r="J162" s="29" t="n">
        <f aca="false">ROUND(H162*I162,2)</f>
        <v>0</v>
      </c>
      <c r="K162" s="29" t="n">
        <f aca="false">ROUND(J162*'Основания и цены'!$B$4,2)</f>
        <v>0</v>
      </c>
      <c r="L162" s="29" t="n">
        <f aca="false">Материалы!G71</f>
        <v>788.4</v>
      </c>
      <c r="M162" s="29" t="n">
        <f aca="false">ROUND(H162*L162,2)</f>
        <v>1576.8</v>
      </c>
      <c r="N162" s="29" t="n">
        <v>0</v>
      </c>
      <c r="O162" s="29" t="n">
        <f aca="false">ROUND(H162*N162,2)</f>
        <v>0</v>
      </c>
      <c r="P162" s="29" t="n">
        <v>0</v>
      </c>
      <c r="Q162" s="29" t="n">
        <f aca="false">ROUND(H162*P162,2)</f>
        <v>0</v>
      </c>
      <c r="R162" s="29" t="n">
        <f aca="false">ROUND(J162+K162+M162+O162+Q162,2)</f>
        <v>1576.8</v>
      </c>
      <c r="S162" s="26" t="s">
        <v>59</v>
      </c>
      <c r="T162" s="29" t="n">
        <f aca="false">IF(S162="УЧТЕНО",R162,0)</f>
        <v>1576.8</v>
      </c>
      <c r="U162" s="27" t="s">
        <v>461</v>
      </c>
    </row>
    <row r="163" customFormat="false" ht="30.75" hidden="false" customHeight="true" outlineLevel="0" collapsed="false">
      <c r="A163" s="26" t="n">
        <v>2</v>
      </c>
      <c r="B163" s="26" t="s">
        <v>263</v>
      </c>
      <c r="C163" s="26" t="s">
        <v>462</v>
      </c>
      <c r="D163" s="27" t="s">
        <v>463</v>
      </c>
      <c r="E163" s="28" t="s">
        <v>57</v>
      </c>
      <c r="F163" s="26" t="s">
        <v>57</v>
      </c>
      <c r="G163" s="26" t="s">
        <v>180</v>
      </c>
      <c r="H163" s="28" t="n">
        <v>16</v>
      </c>
      <c r="I163" s="29" t="n">
        <v>0</v>
      </c>
      <c r="J163" s="29" t="n">
        <f aca="false">ROUND(H163*I163,2)</f>
        <v>0</v>
      </c>
      <c r="K163" s="29" t="n">
        <f aca="false">ROUND(J163*'Основания и цены'!$B$4,2)</f>
        <v>0</v>
      </c>
      <c r="L163" s="29" t="n">
        <f aca="false">Материалы!G72</f>
        <v>252</v>
      </c>
      <c r="M163" s="29" t="n">
        <f aca="false">ROUND(H163*L163,2)</f>
        <v>4032</v>
      </c>
      <c r="N163" s="29" t="n">
        <v>0</v>
      </c>
      <c r="O163" s="29" t="n">
        <f aca="false">ROUND(H163*N163,2)</f>
        <v>0</v>
      </c>
      <c r="P163" s="29" t="n">
        <v>0</v>
      </c>
      <c r="Q163" s="29" t="n">
        <f aca="false">ROUND(H163*P163,2)</f>
        <v>0</v>
      </c>
      <c r="R163" s="29" t="n">
        <f aca="false">ROUND(J163+K163+M163+O163+Q163,2)</f>
        <v>4032</v>
      </c>
      <c r="S163" s="26" t="s">
        <v>59</v>
      </c>
      <c r="T163" s="29" t="n">
        <f aca="false">IF(S163="УЧТЕНО",R163,0)</f>
        <v>4032</v>
      </c>
      <c r="U163" s="27" t="s">
        <v>464</v>
      </c>
    </row>
    <row r="164" customFormat="false" ht="21.75" hidden="false" customHeight="true" outlineLevel="0" collapsed="false">
      <c r="A164" s="26" t="n">
        <v>2</v>
      </c>
      <c r="B164" s="26" t="s">
        <v>263</v>
      </c>
      <c r="C164" s="26" t="s">
        <v>465</v>
      </c>
      <c r="D164" s="27" t="s">
        <v>466</v>
      </c>
      <c r="E164" s="28" t="s">
        <v>57</v>
      </c>
      <c r="F164" s="26" t="s">
        <v>57</v>
      </c>
      <c r="G164" s="26" t="s">
        <v>467</v>
      </c>
      <c r="H164" s="28" t="n">
        <v>15</v>
      </c>
      <c r="I164" s="29" t="n">
        <v>0</v>
      </c>
      <c r="J164" s="29" t="n">
        <f aca="false">ROUND(H164*I164,2)</f>
        <v>0</v>
      </c>
      <c r="K164" s="29" t="n">
        <f aca="false">ROUND(J164*'Основания и цены'!$B$4,2)</f>
        <v>0</v>
      </c>
      <c r="L164" s="29" t="n">
        <v>0</v>
      </c>
      <c r="M164" s="29" t="n">
        <f aca="false">ROUND(H164*L164,2)</f>
        <v>0</v>
      </c>
      <c r="N164" s="29" t="n">
        <v>936</v>
      </c>
      <c r="O164" s="29" t="n">
        <f aca="false">ROUND(H164*N164,2)</f>
        <v>14040</v>
      </c>
      <c r="P164" s="29" t="n">
        <v>0</v>
      </c>
      <c r="Q164" s="29" t="n">
        <f aca="false">ROUND(H164*P164,2)</f>
        <v>0</v>
      </c>
      <c r="R164" s="29" t="n">
        <f aca="false">ROUND(J164+K164+M164+O164+Q164,2)</f>
        <v>14040</v>
      </c>
      <c r="S164" s="26" t="s">
        <v>59</v>
      </c>
      <c r="T164" s="29" t="n">
        <f aca="false">IF(S164="УЧТЕНО",R164,0)</f>
        <v>14040</v>
      </c>
      <c r="U164" s="27" t="s">
        <v>468</v>
      </c>
    </row>
    <row r="165" customFormat="false" ht="21.75" hidden="false" customHeight="true" outlineLevel="0" collapsed="false">
      <c r="A165" s="26" t="n">
        <v>2</v>
      </c>
      <c r="B165" s="26" t="s">
        <v>263</v>
      </c>
      <c r="C165" s="26" t="s">
        <v>469</v>
      </c>
      <c r="D165" s="27" t="s">
        <v>470</v>
      </c>
      <c r="E165" s="28" t="s">
        <v>57</v>
      </c>
      <c r="F165" s="26" t="s">
        <v>57</v>
      </c>
      <c r="G165" s="26" t="s">
        <v>87</v>
      </c>
      <c r="H165" s="28" t="n">
        <v>0.5</v>
      </c>
      <c r="I165" s="29" t="n">
        <v>0</v>
      </c>
      <c r="J165" s="29" t="n">
        <f aca="false">ROUND(H165*I165,2)</f>
        <v>0</v>
      </c>
      <c r="K165" s="29" t="n">
        <f aca="false">ROUND(J165*'Основания и цены'!$B$4,2)</f>
        <v>0</v>
      </c>
      <c r="L165" s="29" t="n">
        <f aca="false">Материалы!G73</f>
        <v>26400</v>
      </c>
      <c r="M165" s="29" t="n">
        <f aca="false">ROUND(H165*L165,2)</f>
        <v>13200</v>
      </c>
      <c r="N165" s="29" t="n">
        <v>0</v>
      </c>
      <c r="O165" s="29" t="n">
        <f aca="false">ROUND(H165*N165,2)</f>
        <v>0</v>
      </c>
      <c r="P165" s="29" t="n">
        <v>0</v>
      </c>
      <c r="Q165" s="29" t="n">
        <f aca="false">ROUND(H165*P165,2)</f>
        <v>0</v>
      </c>
      <c r="R165" s="29" t="n">
        <f aca="false">ROUND(J165+K165+M165+O165+Q165,2)</f>
        <v>13200</v>
      </c>
      <c r="S165" s="26" t="s">
        <v>59</v>
      </c>
      <c r="T165" s="29" t="n">
        <f aca="false">IF(S165="УЧТЕНО",R165,0)</f>
        <v>13200</v>
      </c>
      <c r="U165" s="27" t="s">
        <v>471</v>
      </c>
    </row>
    <row r="166" customFormat="false" ht="30.75" hidden="false" customHeight="true" outlineLevel="0" collapsed="false">
      <c r="A166" s="26" t="n">
        <v>2</v>
      </c>
      <c r="B166" s="26" t="s">
        <v>263</v>
      </c>
      <c r="C166" s="26" t="s">
        <v>472</v>
      </c>
      <c r="D166" s="27" t="s">
        <v>473</v>
      </c>
      <c r="E166" s="28" t="s">
        <v>57</v>
      </c>
      <c r="F166" s="26" t="s">
        <v>57</v>
      </c>
      <c r="G166" s="26" t="s">
        <v>80</v>
      </c>
      <c r="H166" s="28" t="n">
        <v>78</v>
      </c>
      <c r="I166" s="29" t="n">
        <v>0</v>
      </c>
      <c r="J166" s="29" t="n">
        <f aca="false">ROUND(H166*I166,2)</f>
        <v>0</v>
      </c>
      <c r="K166" s="29" t="n">
        <f aca="false">ROUND(J166*'Основания и цены'!$B$4,2)</f>
        <v>0</v>
      </c>
      <c r="L166" s="29" t="n">
        <f aca="false">Материалы!G74</f>
        <v>1368</v>
      </c>
      <c r="M166" s="29" t="n">
        <f aca="false">ROUND(H166*L166,2)</f>
        <v>106704</v>
      </c>
      <c r="N166" s="29" t="n">
        <v>0</v>
      </c>
      <c r="O166" s="29" t="n">
        <f aca="false">ROUND(H166*N166,2)</f>
        <v>0</v>
      </c>
      <c r="P166" s="29" t="n">
        <v>0</v>
      </c>
      <c r="Q166" s="29" t="n">
        <f aca="false">ROUND(H166*P166,2)</f>
        <v>0</v>
      </c>
      <c r="R166" s="29" t="n">
        <f aca="false">ROUND(J166+K166+M166+O166+Q166,2)</f>
        <v>106704</v>
      </c>
      <c r="S166" s="26" t="s">
        <v>59</v>
      </c>
      <c r="T166" s="29" t="n">
        <f aca="false">IF(S166="УЧТЕНО",R166,0)</f>
        <v>106704</v>
      </c>
      <c r="U166" s="27" t="s">
        <v>474</v>
      </c>
    </row>
    <row r="167" customFormat="false" ht="21.75" hidden="false" customHeight="true" outlineLevel="0" collapsed="false">
      <c r="A167" s="26" t="n">
        <v>2</v>
      </c>
      <c r="B167" s="26" t="s">
        <v>263</v>
      </c>
      <c r="C167" s="26" t="s">
        <v>475</v>
      </c>
      <c r="D167" s="27" t="s">
        <v>476</v>
      </c>
      <c r="E167" s="28" t="s">
        <v>57</v>
      </c>
      <c r="F167" s="26" t="s">
        <v>57</v>
      </c>
      <c r="G167" s="26" t="s">
        <v>190</v>
      </c>
      <c r="H167" s="28" t="n">
        <v>16</v>
      </c>
      <c r="I167" s="29" t="n">
        <v>0</v>
      </c>
      <c r="J167" s="29" t="n">
        <f aca="false">ROUND(H167*I167,2)</f>
        <v>0</v>
      </c>
      <c r="K167" s="29" t="n">
        <f aca="false">ROUND(J167*'Основания и цены'!$B$4,2)</f>
        <v>0</v>
      </c>
      <c r="L167" s="29" t="n">
        <f aca="false">Материалы!G75</f>
        <v>960.29</v>
      </c>
      <c r="M167" s="29" t="n">
        <f aca="false">ROUND(H167*L167,2)</f>
        <v>15364.64</v>
      </c>
      <c r="N167" s="29" t="n">
        <v>0</v>
      </c>
      <c r="O167" s="29" t="n">
        <f aca="false">ROUND(H167*N167,2)</f>
        <v>0</v>
      </c>
      <c r="P167" s="29" t="n">
        <v>0</v>
      </c>
      <c r="Q167" s="29" t="n">
        <f aca="false">ROUND(H167*P167,2)</f>
        <v>0</v>
      </c>
      <c r="R167" s="29" t="n">
        <f aca="false">ROUND(J167+K167+M167+O167+Q167,2)</f>
        <v>15364.64</v>
      </c>
      <c r="S167" s="26" t="s">
        <v>59</v>
      </c>
      <c r="T167" s="29" t="n">
        <f aca="false">IF(S167="УЧТЕНО",R167,0)</f>
        <v>15364.64</v>
      </c>
      <c r="U167" s="27" t="s">
        <v>477</v>
      </c>
    </row>
    <row r="168" customFormat="false" ht="21.75" hidden="false" customHeight="true" outlineLevel="0" collapsed="false">
      <c r="A168" s="26" t="n">
        <v>2</v>
      </c>
      <c r="B168" s="26" t="s">
        <v>263</v>
      </c>
      <c r="C168" s="26" t="s">
        <v>478</v>
      </c>
      <c r="D168" s="27" t="s">
        <v>211</v>
      </c>
      <c r="E168" s="28" t="s">
        <v>57</v>
      </c>
      <c r="F168" s="26" t="s">
        <v>57</v>
      </c>
      <c r="G168" s="26" t="s">
        <v>212</v>
      </c>
      <c r="H168" s="28" t="n">
        <v>1</v>
      </c>
      <c r="I168" s="29" t="n">
        <v>0</v>
      </c>
      <c r="J168" s="29" t="n">
        <f aca="false">ROUND(H168*I168,2)</f>
        <v>0</v>
      </c>
      <c r="K168" s="29" t="n">
        <f aca="false">ROUND(J168*'Основания и цены'!$B$4,2)</f>
        <v>0</v>
      </c>
      <c r="L168" s="29" t="n">
        <f aca="false">Материалы!G76</f>
        <v>26594.09</v>
      </c>
      <c r="M168" s="29" t="n">
        <f aca="false">ROUND(H168*L168,2)</f>
        <v>26594.09</v>
      </c>
      <c r="N168" s="29" t="n">
        <v>0</v>
      </c>
      <c r="O168" s="29" t="n">
        <f aca="false">ROUND(H168*N168,2)</f>
        <v>0</v>
      </c>
      <c r="P168" s="29" t="n">
        <v>0</v>
      </c>
      <c r="Q168" s="29" t="n">
        <f aca="false">ROUND(H168*P168,2)</f>
        <v>0</v>
      </c>
      <c r="R168" s="29" t="n">
        <f aca="false">ROUND(J168+K168+M168+O168+Q168,2)</f>
        <v>26594.09</v>
      </c>
      <c r="S168" s="26" t="s">
        <v>59</v>
      </c>
      <c r="T168" s="29" t="n">
        <f aca="false">IF(S168="УЧТЕНО",R168,0)</f>
        <v>26594.09</v>
      </c>
      <c r="U168" s="27" t="s">
        <v>479</v>
      </c>
    </row>
    <row r="169" customFormat="false" ht="21.75" hidden="false" customHeight="true" outlineLevel="0" collapsed="false">
      <c r="A169" s="26" t="n">
        <v>2</v>
      </c>
      <c r="B169" s="26" t="s">
        <v>263</v>
      </c>
      <c r="C169" s="26" t="s">
        <v>480</v>
      </c>
      <c r="D169" s="27" t="s">
        <v>481</v>
      </c>
      <c r="E169" s="28" t="s">
        <v>57</v>
      </c>
      <c r="F169" s="26" t="s">
        <v>57</v>
      </c>
      <c r="G169" s="26" t="s">
        <v>63</v>
      </c>
      <c r="H169" s="28" t="n">
        <v>1</v>
      </c>
      <c r="I169" s="29" t="n">
        <v>0</v>
      </c>
      <c r="J169" s="29" t="n">
        <f aca="false">ROUND(H169*I169,2)</f>
        <v>0</v>
      </c>
      <c r="K169" s="29" t="n">
        <f aca="false">ROUND(J169*'Основания и цены'!$B$4,2)</f>
        <v>0</v>
      </c>
      <c r="L169" s="29" t="n">
        <v>0</v>
      </c>
      <c r="M169" s="29" t="n">
        <f aca="false">ROUND(H169*L169,2)</f>
        <v>0</v>
      </c>
      <c r="N169" s="29" t="n">
        <v>0</v>
      </c>
      <c r="O169" s="29" t="n">
        <f aca="false">ROUND(H169*N169,2)</f>
        <v>0</v>
      </c>
      <c r="P169" s="29" t="n">
        <v>24000</v>
      </c>
      <c r="Q169" s="29" t="n">
        <f aca="false">ROUND(H169*P169,2)</f>
        <v>24000</v>
      </c>
      <c r="R169" s="29" t="n">
        <f aca="false">ROUND(J169+K169+M169+O169+Q169,2)</f>
        <v>24000</v>
      </c>
      <c r="S169" s="26" t="s">
        <v>59</v>
      </c>
      <c r="T169" s="29" t="n">
        <f aca="false">IF(S169="УЧТЕНО",R169,0)</f>
        <v>24000</v>
      </c>
      <c r="U169" s="27" t="s">
        <v>482</v>
      </c>
    </row>
    <row r="170" customFormat="false" ht="30.75" hidden="false" customHeight="true" outlineLevel="0" collapsed="false">
      <c r="A170" s="26" t="n">
        <v>2</v>
      </c>
      <c r="B170" s="26" t="s">
        <v>263</v>
      </c>
      <c r="C170" s="26" t="s">
        <v>483</v>
      </c>
      <c r="D170" s="27" t="s">
        <v>484</v>
      </c>
      <c r="E170" s="28" t="s">
        <v>57</v>
      </c>
      <c r="F170" s="26" t="s">
        <v>57</v>
      </c>
      <c r="G170" s="26" t="s">
        <v>63</v>
      </c>
      <c r="H170" s="28" t="n">
        <v>1</v>
      </c>
      <c r="I170" s="29" t="n">
        <v>0</v>
      </c>
      <c r="J170" s="29" t="n">
        <f aca="false">ROUND(H170*I170,2)</f>
        <v>0</v>
      </c>
      <c r="K170" s="29" t="n">
        <f aca="false">ROUND(J170*'Основания и цены'!$B$4,2)</f>
        <v>0</v>
      </c>
      <c r="L170" s="29" t="n">
        <v>0</v>
      </c>
      <c r="M170" s="29" t="n">
        <f aca="false">ROUND(H170*L170,2)</f>
        <v>0</v>
      </c>
      <c r="N170" s="29" t="n">
        <v>0</v>
      </c>
      <c r="O170" s="29" t="n">
        <f aca="false">ROUND(H170*N170,2)</f>
        <v>0</v>
      </c>
      <c r="P170" s="29" t="n">
        <v>24000</v>
      </c>
      <c r="Q170" s="29" t="n">
        <f aca="false">ROUND(H170*P170,2)</f>
        <v>24000</v>
      </c>
      <c r="R170" s="29" t="n">
        <f aca="false">ROUND(J170+K170+M170+O170+Q170,2)</f>
        <v>24000</v>
      </c>
      <c r="S170" s="26" t="s">
        <v>59</v>
      </c>
      <c r="T170" s="29" t="n">
        <f aca="false">IF(S170="УЧТЕНО",R170,0)</f>
        <v>24000</v>
      </c>
      <c r="U170" s="27" t="s">
        <v>485</v>
      </c>
    </row>
    <row r="171" customFormat="false" ht="30.75" hidden="false" customHeight="true" outlineLevel="0" collapsed="false">
      <c r="A171" s="26" t="n">
        <v>2</v>
      </c>
      <c r="B171" s="26" t="s">
        <v>263</v>
      </c>
      <c r="C171" s="26" t="s">
        <v>486</v>
      </c>
      <c r="D171" s="27" t="s">
        <v>487</v>
      </c>
      <c r="E171" s="28" t="s">
        <v>57</v>
      </c>
      <c r="F171" s="26" t="s">
        <v>57</v>
      </c>
      <c r="G171" s="26" t="s">
        <v>58</v>
      </c>
      <c r="H171" s="28" t="n">
        <v>1</v>
      </c>
      <c r="I171" s="29" t="n">
        <v>0</v>
      </c>
      <c r="J171" s="29" t="n">
        <f aca="false">ROUND(H171*I171,2)</f>
        <v>0</v>
      </c>
      <c r="K171" s="29" t="n">
        <f aca="false">ROUND(J171*'Основания и цены'!$B$4,2)</f>
        <v>0</v>
      </c>
      <c r="L171" s="29" t="n">
        <v>0</v>
      </c>
      <c r="M171" s="29" t="n">
        <f aca="false">ROUND(H171*L171,2)</f>
        <v>0</v>
      </c>
      <c r="N171" s="29" t="n">
        <v>47160</v>
      </c>
      <c r="O171" s="29" t="n">
        <f aca="false">ROUND(H171*N171,2)</f>
        <v>47160</v>
      </c>
      <c r="P171" s="29" t="n">
        <v>0</v>
      </c>
      <c r="Q171" s="29" t="n">
        <f aca="false">ROUND(H171*P171,2)</f>
        <v>0</v>
      </c>
      <c r="R171" s="29" t="n">
        <f aca="false">ROUND(J171+K171+M171+O171+Q171,2)</f>
        <v>47160</v>
      </c>
      <c r="S171" s="26" t="s">
        <v>59</v>
      </c>
      <c r="T171" s="29" t="n">
        <f aca="false">IF(S171="УЧТЕНО",R171,0)</f>
        <v>47160</v>
      </c>
      <c r="U171" s="27" t="s">
        <v>488</v>
      </c>
    </row>
    <row r="172" customFormat="false" ht="15" hidden="false" customHeight="true" outlineLevel="0" collapsed="false">
      <c r="A172" s="30"/>
      <c r="B172" s="30"/>
      <c r="C172" s="30"/>
      <c r="D172" s="30" t="s">
        <v>282</v>
      </c>
      <c r="E172" s="30"/>
      <c r="F172" s="30"/>
      <c r="G172" s="30"/>
      <c r="H172" s="30"/>
      <c r="I172" s="30"/>
      <c r="J172" s="31" t="n">
        <f aca="false">ROUND(SUMIF($S$153:$S$171,"УЧТЕНО",$J$153:$J$171),2)</f>
        <v>292072.5</v>
      </c>
      <c r="K172" s="31" t="n">
        <f aca="false">ROUND(SUMIF($S$153:$S$171,"УЧТЕНО",$K$153:$K$171),2)</f>
        <v>87621.75</v>
      </c>
      <c r="L172" s="30"/>
      <c r="M172" s="31" t="n">
        <f aca="false">ROUND(SUMIF($S$153:$S$171,"УЧТЕНО",$M$153:$M$171),2)</f>
        <v>1356298.41</v>
      </c>
      <c r="N172" s="30"/>
      <c r="O172" s="31" t="n">
        <f aca="false">ROUND(SUMIF($S$153:$S$171,"УЧТЕНО",$O$153:$O$171),2)</f>
        <v>61200</v>
      </c>
      <c r="P172" s="30"/>
      <c r="Q172" s="31" t="n">
        <f aca="false">ROUND(SUMIF($S$153:$S$171,"УЧТЕНО",$Q$153:$Q$171),2)</f>
        <v>72108</v>
      </c>
      <c r="R172" s="31" t="n">
        <f aca="false">ROUND(J172+K172+M172+O172+Q172,2)</f>
        <v>1869300.66</v>
      </c>
      <c r="S172" s="30" t="s">
        <v>72</v>
      </c>
      <c r="T172" s="31" t="n">
        <f aca="false">R172</f>
        <v>1869300.66</v>
      </c>
      <c r="U172" s="30"/>
    </row>
    <row r="173" customFormat="false" ht="42" hidden="false" customHeight="true" outlineLevel="0" collapsed="false">
      <c r="A173" s="24" t="s">
        <v>489</v>
      </c>
      <c r="B173" s="24"/>
      <c r="C173" s="24"/>
      <c r="D173" s="24"/>
      <c r="E173" s="24"/>
      <c r="F173" s="24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</row>
    <row r="174" customFormat="false" ht="21.75" hidden="false" customHeight="true" outlineLevel="0" collapsed="false">
      <c r="A174" s="26" t="n">
        <v>2</v>
      </c>
      <c r="B174" s="26" t="s">
        <v>490</v>
      </c>
      <c r="C174" s="26" t="s">
        <v>491</v>
      </c>
      <c r="D174" s="27" t="s">
        <v>408</v>
      </c>
      <c r="E174" s="28" t="s">
        <v>57</v>
      </c>
      <c r="F174" s="26" t="s">
        <v>57</v>
      </c>
      <c r="G174" s="26" t="s">
        <v>135</v>
      </c>
      <c r="H174" s="28" t="n">
        <v>180</v>
      </c>
      <c r="I174" s="29" t="n">
        <v>286.15</v>
      </c>
      <c r="J174" s="29" t="n">
        <f aca="false">ROUND(H174*I174,2)</f>
        <v>51507</v>
      </c>
      <c r="K174" s="29" t="n">
        <f aca="false">ROUND(J174*'Основания и цены'!$B$4,2)</f>
        <v>15452.1</v>
      </c>
      <c r="L174" s="29" t="n">
        <v>0</v>
      </c>
      <c r="M174" s="29" t="n">
        <f aca="false">ROUND(H174*L174,2)</f>
        <v>0</v>
      </c>
      <c r="N174" s="29" t="n">
        <v>0</v>
      </c>
      <c r="O174" s="29" t="n">
        <f aca="false">ROUND(H174*N174,2)</f>
        <v>0</v>
      </c>
      <c r="P174" s="29" t="n">
        <v>0</v>
      </c>
      <c r="Q174" s="29" t="n">
        <f aca="false">ROUND(H174*P174,2)</f>
        <v>0</v>
      </c>
      <c r="R174" s="29" t="n">
        <f aca="false">ROUND(J174+K174+M174+O174+Q174,2)</f>
        <v>66959.1</v>
      </c>
      <c r="S174" s="26" t="s">
        <v>59</v>
      </c>
      <c r="T174" s="29" t="n">
        <f aca="false">IF(S174="УЧТЕНО",R174,0)</f>
        <v>66959.1</v>
      </c>
      <c r="U174" s="27" t="s">
        <v>492</v>
      </c>
    </row>
    <row r="175" customFormat="false" ht="21.75" hidden="false" customHeight="true" outlineLevel="0" collapsed="false">
      <c r="A175" s="26" t="n">
        <v>2</v>
      </c>
      <c r="B175" s="26" t="s">
        <v>490</v>
      </c>
      <c r="C175" s="26" t="s">
        <v>493</v>
      </c>
      <c r="D175" s="27" t="s">
        <v>410</v>
      </c>
      <c r="E175" s="28" t="s">
        <v>57</v>
      </c>
      <c r="F175" s="26" t="s">
        <v>57</v>
      </c>
      <c r="G175" s="26" t="s">
        <v>135</v>
      </c>
      <c r="H175" s="28" t="n">
        <v>90</v>
      </c>
      <c r="I175" s="29" t="n">
        <v>323.08</v>
      </c>
      <c r="J175" s="29" t="n">
        <f aca="false">ROUND(H175*I175,2)</f>
        <v>29077.2</v>
      </c>
      <c r="K175" s="29" t="n">
        <f aca="false">ROUND(J175*'Основания и цены'!$B$4,2)</f>
        <v>8723.16</v>
      </c>
      <c r="L175" s="29" t="n">
        <v>0</v>
      </c>
      <c r="M175" s="29" t="n">
        <f aca="false">ROUND(H175*L175,2)</f>
        <v>0</v>
      </c>
      <c r="N175" s="29" t="n">
        <v>0</v>
      </c>
      <c r="O175" s="29" t="n">
        <f aca="false">ROUND(H175*N175,2)</f>
        <v>0</v>
      </c>
      <c r="P175" s="29" t="n">
        <v>0</v>
      </c>
      <c r="Q175" s="29" t="n">
        <f aca="false">ROUND(H175*P175,2)</f>
        <v>0</v>
      </c>
      <c r="R175" s="29" t="n">
        <f aca="false">ROUND(J175+K175+M175+O175+Q175,2)</f>
        <v>37800.36</v>
      </c>
      <c r="S175" s="26" t="s">
        <v>59</v>
      </c>
      <c r="T175" s="29" t="n">
        <f aca="false">IF(S175="УЧТЕНО",R175,0)</f>
        <v>37800.36</v>
      </c>
      <c r="U175" s="27" t="s">
        <v>494</v>
      </c>
    </row>
    <row r="176" customFormat="false" ht="21.75" hidden="false" customHeight="true" outlineLevel="0" collapsed="false">
      <c r="A176" s="26" t="n">
        <v>2</v>
      </c>
      <c r="B176" s="26" t="s">
        <v>490</v>
      </c>
      <c r="C176" s="26" t="s">
        <v>495</v>
      </c>
      <c r="D176" s="27" t="s">
        <v>412</v>
      </c>
      <c r="E176" s="28" t="s">
        <v>57</v>
      </c>
      <c r="F176" s="26" t="s">
        <v>57</v>
      </c>
      <c r="G176" s="26" t="s">
        <v>135</v>
      </c>
      <c r="H176" s="28" t="n">
        <v>90</v>
      </c>
      <c r="I176" s="29" t="n">
        <v>350.77</v>
      </c>
      <c r="J176" s="29" t="n">
        <f aca="false">ROUND(H176*I176,2)</f>
        <v>31569.3</v>
      </c>
      <c r="K176" s="29" t="n">
        <f aca="false">ROUND(J176*'Основания и цены'!$B$4,2)</f>
        <v>9470.79</v>
      </c>
      <c r="L176" s="29" t="n">
        <v>0</v>
      </c>
      <c r="M176" s="29" t="n">
        <f aca="false">ROUND(H176*L176,2)</f>
        <v>0</v>
      </c>
      <c r="N176" s="29" t="n">
        <v>0</v>
      </c>
      <c r="O176" s="29" t="n">
        <f aca="false">ROUND(H176*N176,2)</f>
        <v>0</v>
      </c>
      <c r="P176" s="29" t="n">
        <v>0</v>
      </c>
      <c r="Q176" s="29" t="n">
        <f aca="false">ROUND(H176*P176,2)</f>
        <v>0</v>
      </c>
      <c r="R176" s="29" t="n">
        <f aca="false">ROUND(J176+K176+M176+O176+Q176,2)</f>
        <v>41040.09</v>
      </c>
      <c r="S176" s="26" t="s">
        <v>59</v>
      </c>
      <c r="T176" s="29" t="n">
        <f aca="false">IF(S176="УЧТЕНО",R176,0)</f>
        <v>41040.09</v>
      </c>
      <c r="U176" s="27" t="s">
        <v>496</v>
      </c>
    </row>
    <row r="177" customFormat="false" ht="21.75" hidden="false" customHeight="true" outlineLevel="0" collapsed="false">
      <c r="A177" s="26" t="n">
        <v>2</v>
      </c>
      <c r="B177" s="26" t="s">
        <v>490</v>
      </c>
      <c r="C177" s="26" t="s">
        <v>497</v>
      </c>
      <c r="D177" s="27" t="s">
        <v>414</v>
      </c>
      <c r="E177" s="28" t="n">
        <v>100</v>
      </c>
      <c r="F177" s="26" t="s">
        <v>180</v>
      </c>
      <c r="G177" s="26" t="s">
        <v>349</v>
      </c>
      <c r="H177" s="28" t="n">
        <v>90</v>
      </c>
      <c r="I177" s="29" t="n">
        <v>0</v>
      </c>
      <c r="J177" s="29" t="n">
        <f aca="false">ROUND(H177*I177,2)</f>
        <v>0</v>
      </c>
      <c r="K177" s="29" t="n">
        <f aca="false">ROUND(J177*'Основания и цены'!$B$4,2)</f>
        <v>0</v>
      </c>
      <c r="L177" s="29" t="n">
        <f aca="false">Материалы!G77</f>
        <v>156</v>
      </c>
      <c r="M177" s="29" t="n">
        <f aca="false">ROUND(H177*L177,2)</f>
        <v>14040</v>
      </c>
      <c r="N177" s="29" t="n">
        <v>0</v>
      </c>
      <c r="O177" s="29" t="n">
        <f aca="false">ROUND(H177*N177,2)</f>
        <v>0</v>
      </c>
      <c r="P177" s="29" t="n">
        <v>0</v>
      </c>
      <c r="Q177" s="29" t="n">
        <f aca="false">ROUND(H177*P177,2)</f>
        <v>0</v>
      </c>
      <c r="R177" s="29" t="n">
        <f aca="false">ROUND(J177+K177+M177+O177+Q177,2)</f>
        <v>14040</v>
      </c>
      <c r="S177" s="26" t="s">
        <v>59</v>
      </c>
      <c r="T177" s="29" t="n">
        <f aca="false">IF(S177="УЧТЕНО",R177,0)</f>
        <v>14040</v>
      </c>
      <c r="U177" s="27" t="s">
        <v>498</v>
      </c>
    </row>
    <row r="178" customFormat="false" ht="21.75" hidden="false" customHeight="true" outlineLevel="0" collapsed="false">
      <c r="A178" s="26" t="n">
        <v>2</v>
      </c>
      <c r="B178" s="26" t="s">
        <v>490</v>
      </c>
      <c r="C178" s="26" t="s">
        <v>499</v>
      </c>
      <c r="D178" s="27" t="s">
        <v>500</v>
      </c>
      <c r="E178" s="28" t="n">
        <v>0.0799</v>
      </c>
      <c r="F178" s="26" t="s">
        <v>116</v>
      </c>
      <c r="G178" s="26" t="s">
        <v>116</v>
      </c>
      <c r="H178" s="28" t="n">
        <v>0.09</v>
      </c>
      <c r="I178" s="29" t="n">
        <v>0</v>
      </c>
      <c r="J178" s="29" t="n">
        <f aca="false">ROUND(H178*I178,2)</f>
        <v>0</v>
      </c>
      <c r="K178" s="29" t="n">
        <f aca="false">ROUND(J178*'Основания и цены'!$B$4,2)</f>
        <v>0</v>
      </c>
      <c r="L178" s="29" t="n">
        <f aca="false">Материалы!G78</f>
        <v>74160</v>
      </c>
      <c r="M178" s="29" t="n">
        <f aca="false">ROUND(H178*L178,2)</f>
        <v>6674.4</v>
      </c>
      <c r="N178" s="29" t="n">
        <v>0</v>
      </c>
      <c r="O178" s="29" t="n">
        <f aca="false">ROUND(H178*N178,2)</f>
        <v>0</v>
      </c>
      <c r="P178" s="29" t="n">
        <v>0</v>
      </c>
      <c r="Q178" s="29" t="n">
        <f aca="false">ROUND(H178*P178,2)</f>
        <v>0</v>
      </c>
      <c r="R178" s="29" t="n">
        <f aca="false">ROUND(J178+K178+M178+O178+Q178,2)</f>
        <v>6674.4</v>
      </c>
      <c r="S178" s="26" t="s">
        <v>59</v>
      </c>
      <c r="T178" s="29" t="n">
        <f aca="false">IF(S178="УЧТЕНО",R178,0)</f>
        <v>6674.4</v>
      </c>
      <c r="U178" s="27" t="s">
        <v>501</v>
      </c>
    </row>
    <row r="179" customFormat="false" ht="21.75" hidden="false" customHeight="true" outlineLevel="0" collapsed="false">
      <c r="A179" s="26" t="n">
        <v>2</v>
      </c>
      <c r="B179" s="26" t="s">
        <v>490</v>
      </c>
      <c r="C179" s="26" t="s">
        <v>502</v>
      </c>
      <c r="D179" s="27" t="s">
        <v>503</v>
      </c>
      <c r="E179" s="28" t="n">
        <v>0.1421</v>
      </c>
      <c r="F179" s="26" t="s">
        <v>116</v>
      </c>
      <c r="G179" s="26" t="s">
        <v>116</v>
      </c>
      <c r="H179" s="28" t="n">
        <v>0.161</v>
      </c>
      <c r="I179" s="29" t="n">
        <v>0</v>
      </c>
      <c r="J179" s="29" t="n">
        <f aca="false">ROUND(H179*I179,2)</f>
        <v>0</v>
      </c>
      <c r="K179" s="29" t="n">
        <f aca="false">ROUND(J179*'Основания и цены'!$B$4,2)</f>
        <v>0</v>
      </c>
      <c r="L179" s="29" t="n">
        <f aca="false">Материалы!G79</f>
        <v>74160</v>
      </c>
      <c r="M179" s="29" t="n">
        <f aca="false">ROUND(H179*L179,2)</f>
        <v>11939.76</v>
      </c>
      <c r="N179" s="29" t="n">
        <v>0</v>
      </c>
      <c r="O179" s="29" t="n">
        <f aca="false">ROUND(H179*N179,2)</f>
        <v>0</v>
      </c>
      <c r="P179" s="29" t="n">
        <v>0</v>
      </c>
      <c r="Q179" s="29" t="n">
        <f aca="false">ROUND(H179*P179,2)</f>
        <v>0</v>
      </c>
      <c r="R179" s="29" t="n">
        <f aca="false">ROUND(J179+K179+M179+O179+Q179,2)</f>
        <v>11939.76</v>
      </c>
      <c r="S179" s="26" t="s">
        <v>59</v>
      </c>
      <c r="T179" s="29" t="n">
        <f aca="false">IF(S179="УЧТЕНО",R179,0)</f>
        <v>11939.76</v>
      </c>
      <c r="U179" s="27" t="s">
        <v>504</v>
      </c>
    </row>
    <row r="180" customFormat="false" ht="21.75" hidden="false" customHeight="true" outlineLevel="0" collapsed="false">
      <c r="A180" s="26" t="n">
        <v>2</v>
      </c>
      <c r="B180" s="26" t="s">
        <v>490</v>
      </c>
      <c r="C180" s="26" t="s">
        <v>505</v>
      </c>
      <c r="D180" s="27" t="s">
        <v>420</v>
      </c>
      <c r="E180" s="28" t="n">
        <v>4.5</v>
      </c>
      <c r="F180" s="26" t="s">
        <v>87</v>
      </c>
      <c r="G180" s="26" t="s">
        <v>87</v>
      </c>
      <c r="H180" s="28" t="n">
        <v>5.5</v>
      </c>
      <c r="I180" s="29" t="n">
        <v>0</v>
      </c>
      <c r="J180" s="29" t="n">
        <f aca="false">ROUND(H180*I180,2)</f>
        <v>0</v>
      </c>
      <c r="K180" s="29" t="n">
        <f aca="false">ROUND(J180*'Основания и цены'!$B$4,2)</f>
        <v>0</v>
      </c>
      <c r="L180" s="29" t="n">
        <f aca="false">Материалы!G80</f>
        <v>4483.2</v>
      </c>
      <c r="M180" s="29" t="n">
        <f aca="false">ROUND(H180*L180,2)</f>
        <v>24657.6</v>
      </c>
      <c r="N180" s="29" t="n">
        <v>0</v>
      </c>
      <c r="O180" s="29" t="n">
        <f aca="false">ROUND(H180*N180,2)</f>
        <v>0</v>
      </c>
      <c r="P180" s="29" t="n">
        <v>984</v>
      </c>
      <c r="Q180" s="29" t="n">
        <f aca="false">ROUND(H180*P180,2)</f>
        <v>5412</v>
      </c>
      <c r="R180" s="29" t="n">
        <f aca="false">ROUND(J180+K180+M180+O180+Q180,2)</f>
        <v>30069.6</v>
      </c>
      <c r="S180" s="26" t="s">
        <v>59</v>
      </c>
      <c r="T180" s="29" t="n">
        <f aca="false">IF(S180="УЧТЕНО",R180,0)</f>
        <v>30069.6</v>
      </c>
      <c r="U180" s="27" t="s">
        <v>506</v>
      </c>
    </row>
    <row r="181" customFormat="false" ht="21.75" hidden="false" customHeight="true" outlineLevel="0" collapsed="false">
      <c r="A181" s="26" t="n">
        <v>2</v>
      </c>
      <c r="B181" s="26" t="s">
        <v>490</v>
      </c>
      <c r="C181" s="26" t="s">
        <v>507</v>
      </c>
      <c r="D181" s="27" t="s">
        <v>422</v>
      </c>
      <c r="E181" s="28" t="s">
        <v>57</v>
      </c>
      <c r="F181" s="26" t="s">
        <v>57</v>
      </c>
      <c r="G181" s="26" t="s">
        <v>116</v>
      </c>
      <c r="H181" s="28" t="n">
        <v>0.01</v>
      </c>
      <c r="I181" s="29" t="n">
        <v>0</v>
      </c>
      <c r="J181" s="29" t="n">
        <f aca="false">ROUND(H181*I181,2)</f>
        <v>0</v>
      </c>
      <c r="K181" s="29" t="n">
        <f aca="false">ROUND(J181*'Основания и цены'!$B$4,2)</f>
        <v>0</v>
      </c>
      <c r="L181" s="29" t="n">
        <f aca="false">Материалы!G81</f>
        <v>158080.32</v>
      </c>
      <c r="M181" s="29" t="n">
        <f aca="false">ROUND(H181*L181,2)</f>
        <v>1580.8</v>
      </c>
      <c r="N181" s="29" t="n">
        <v>0</v>
      </c>
      <c r="O181" s="29" t="n">
        <f aca="false">ROUND(H181*N181,2)</f>
        <v>0</v>
      </c>
      <c r="P181" s="29" t="n">
        <v>0</v>
      </c>
      <c r="Q181" s="29" t="n">
        <f aca="false">ROUND(H181*P181,2)</f>
        <v>0</v>
      </c>
      <c r="R181" s="29" t="n">
        <f aca="false">ROUND(J181+K181+M181+O181+Q181,2)</f>
        <v>1580.8</v>
      </c>
      <c r="S181" s="26" t="s">
        <v>59</v>
      </c>
      <c r="T181" s="29" t="n">
        <f aca="false">IF(S181="УЧТЕНО",R181,0)</f>
        <v>1580.8</v>
      </c>
      <c r="U181" s="27" t="s">
        <v>508</v>
      </c>
    </row>
    <row r="182" customFormat="false" ht="30.75" hidden="false" customHeight="true" outlineLevel="0" collapsed="false">
      <c r="A182" s="26" t="n">
        <v>2</v>
      </c>
      <c r="B182" s="26" t="s">
        <v>490</v>
      </c>
      <c r="C182" s="26" t="s">
        <v>509</v>
      </c>
      <c r="D182" s="27" t="s">
        <v>424</v>
      </c>
      <c r="E182" s="28" t="s">
        <v>57</v>
      </c>
      <c r="F182" s="26" t="s">
        <v>57</v>
      </c>
      <c r="G182" s="26" t="s">
        <v>87</v>
      </c>
      <c r="H182" s="28" t="n">
        <v>1.18</v>
      </c>
      <c r="I182" s="29" t="n">
        <v>0</v>
      </c>
      <c r="J182" s="29" t="n">
        <f aca="false">ROUND(H182*I182,2)</f>
        <v>0</v>
      </c>
      <c r="K182" s="29" t="n">
        <f aca="false">ROUND(J182*'Основания и цены'!$B$4,2)</f>
        <v>0</v>
      </c>
      <c r="L182" s="29" t="n">
        <f aca="false">Материалы!G82</f>
        <v>26400</v>
      </c>
      <c r="M182" s="29" t="n">
        <f aca="false">ROUND(H182*L182,2)</f>
        <v>31152</v>
      </c>
      <c r="N182" s="29" t="n">
        <v>0</v>
      </c>
      <c r="O182" s="29" t="n">
        <f aca="false">ROUND(H182*N182,2)</f>
        <v>0</v>
      </c>
      <c r="P182" s="29" t="n">
        <v>0</v>
      </c>
      <c r="Q182" s="29" t="n">
        <f aca="false">ROUND(H182*P182,2)</f>
        <v>0</v>
      </c>
      <c r="R182" s="29" t="n">
        <f aca="false">ROUND(J182+K182+M182+O182+Q182,2)</f>
        <v>31152</v>
      </c>
      <c r="S182" s="26" t="s">
        <v>59</v>
      </c>
      <c r="T182" s="29" t="n">
        <f aca="false">IF(S182="УЧТЕНО",R182,0)</f>
        <v>31152</v>
      </c>
      <c r="U182" s="27" t="s">
        <v>510</v>
      </c>
    </row>
    <row r="183" customFormat="false" ht="21.75" hidden="false" customHeight="true" outlineLevel="0" collapsed="false">
      <c r="A183" s="26" t="n">
        <v>2</v>
      </c>
      <c r="B183" s="26" t="s">
        <v>490</v>
      </c>
      <c r="C183" s="26" t="s">
        <v>511</v>
      </c>
      <c r="D183" s="27" t="s">
        <v>426</v>
      </c>
      <c r="E183" s="28" t="s">
        <v>57</v>
      </c>
      <c r="F183" s="26" t="s">
        <v>57</v>
      </c>
      <c r="G183" s="26" t="s">
        <v>427</v>
      </c>
      <c r="H183" s="28" t="n">
        <v>4</v>
      </c>
      <c r="I183" s="29" t="n">
        <v>0</v>
      </c>
      <c r="J183" s="29" t="n">
        <f aca="false">ROUND(H183*I183,2)</f>
        <v>0</v>
      </c>
      <c r="K183" s="29" t="n">
        <f aca="false">ROUND(J183*'Основания и цены'!$B$4,2)</f>
        <v>0</v>
      </c>
      <c r="L183" s="29" t="n">
        <f aca="false">Материалы!G83</f>
        <v>758.4</v>
      </c>
      <c r="M183" s="29" t="n">
        <f aca="false">ROUND(H183*L183,2)</f>
        <v>3033.6</v>
      </c>
      <c r="N183" s="29" t="n">
        <v>0</v>
      </c>
      <c r="O183" s="29" t="n">
        <f aca="false">ROUND(H183*N183,2)</f>
        <v>0</v>
      </c>
      <c r="P183" s="29" t="n">
        <v>0</v>
      </c>
      <c r="Q183" s="29" t="n">
        <f aca="false">ROUND(H183*P183,2)</f>
        <v>0</v>
      </c>
      <c r="R183" s="29" t="n">
        <f aca="false">ROUND(J183+K183+M183+O183+Q183,2)</f>
        <v>3033.6</v>
      </c>
      <c r="S183" s="26" t="s">
        <v>59</v>
      </c>
      <c r="T183" s="29" t="n">
        <f aca="false">IF(S183="УЧТЕНО",R183,0)</f>
        <v>3033.6</v>
      </c>
      <c r="U183" s="27" t="s">
        <v>512</v>
      </c>
    </row>
    <row r="184" customFormat="false" ht="21.75" hidden="false" customHeight="true" outlineLevel="0" collapsed="false">
      <c r="A184" s="26" t="n">
        <v>2</v>
      </c>
      <c r="B184" s="26" t="s">
        <v>490</v>
      </c>
      <c r="C184" s="26" t="s">
        <v>513</v>
      </c>
      <c r="D184" s="27" t="s">
        <v>211</v>
      </c>
      <c r="E184" s="28" t="s">
        <v>57</v>
      </c>
      <c r="F184" s="26" t="s">
        <v>57</v>
      </c>
      <c r="G184" s="26" t="s">
        <v>212</v>
      </c>
      <c r="H184" s="28" t="n">
        <v>1</v>
      </c>
      <c r="I184" s="29" t="n">
        <v>0</v>
      </c>
      <c r="J184" s="29" t="n">
        <f aca="false">ROUND(H184*I184,2)</f>
        <v>0</v>
      </c>
      <c r="K184" s="29" t="n">
        <f aca="false">ROUND(J184*'Основания и цены'!$B$4,2)</f>
        <v>0</v>
      </c>
      <c r="L184" s="29" t="n">
        <f aca="false">Материалы!G84</f>
        <v>1861.56</v>
      </c>
      <c r="M184" s="29" t="n">
        <f aca="false">ROUND(H184*L184,2)</f>
        <v>1861.56</v>
      </c>
      <c r="N184" s="29" t="n">
        <v>0</v>
      </c>
      <c r="O184" s="29" t="n">
        <f aca="false">ROUND(H184*N184,2)</f>
        <v>0</v>
      </c>
      <c r="P184" s="29" t="n">
        <v>0</v>
      </c>
      <c r="Q184" s="29" t="n">
        <f aca="false">ROUND(H184*P184,2)</f>
        <v>0</v>
      </c>
      <c r="R184" s="29" t="n">
        <f aca="false">ROUND(J184+K184+M184+O184+Q184,2)</f>
        <v>1861.56</v>
      </c>
      <c r="S184" s="26" t="s">
        <v>59</v>
      </c>
      <c r="T184" s="29" t="n">
        <f aca="false">IF(S184="УЧТЕНО",R184,0)</f>
        <v>1861.56</v>
      </c>
      <c r="U184" s="27" t="s">
        <v>514</v>
      </c>
    </row>
    <row r="185" customFormat="false" ht="30.75" hidden="false" customHeight="true" outlineLevel="0" collapsed="false">
      <c r="A185" s="26" t="n">
        <v>2</v>
      </c>
      <c r="B185" s="26" t="s">
        <v>490</v>
      </c>
      <c r="C185" s="26" t="s">
        <v>515</v>
      </c>
      <c r="D185" s="27" t="s">
        <v>430</v>
      </c>
      <c r="E185" s="28" t="s">
        <v>57</v>
      </c>
      <c r="F185" s="26" t="s">
        <v>57</v>
      </c>
      <c r="G185" s="26" t="s">
        <v>63</v>
      </c>
      <c r="H185" s="28" t="n">
        <v>0</v>
      </c>
      <c r="I185" s="29" t="n">
        <v>0</v>
      </c>
      <c r="J185" s="29" t="n">
        <f aca="false">ROUND(H185*I185,2)</f>
        <v>0</v>
      </c>
      <c r="K185" s="29" t="n">
        <f aca="false">ROUND(J185*'Основания и цены'!$B$4,2)</f>
        <v>0</v>
      </c>
      <c r="L185" s="29" t="n">
        <v>0</v>
      </c>
      <c r="M185" s="29" t="n">
        <f aca="false">ROUND(H185*L185,2)</f>
        <v>0</v>
      </c>
      <c r="N185" s="29" t="n">
        <v>0</v>
      </c>
      <c r="O185" s="29" t="n">
        <f aca="false">ROUND(H185*N185,2)</f>
        <v>0</v>
      </c>
      <c r="P185" s="29" t="n">
        <v>0</v>
      </c>
      <c r="Q185" s="29" t="n">
        <f aca="false">ROUND(H185*P185,2)</f>
        <v>0</v>
      </c>
      <c r="R185" s="29" t="n">
        <f aca="false">ROUND(J185+K185+M185+O185+Q185,2)</f>
        <v>0</v>
      </c>
      <c r="S185" s="26" t="s">
        <v>59</v>
      </c>
      <c r="T185" s="29" t="n">
        <f aca="false">IF(S185="УЧТЕНО",R185,0)</f>
        <v>0</v>
      </c>
      <c r="U185" s="27" t="s">
        <v>516</v>
      </c>
    </row>
    <row r="186" customFormat="false" ht="30.75" hidden="false" customHeight="true" outlineLevel="0" collapsed="false">
      <c r="A186" s="26" t="n">
        <v>2</v>
      </c>
      <c r="B186" s="26" t="s">
        <v>490</v>
      </c>
      <c r="C186" s="26" t="s">
        <v>517</v>
      </c>
      <c r="D186" s="27" t="s">
        <v>432</v>
      </c>
      <c r="E186" s="28" t="s">
        <v>57</v>
      </c>
      <c r="F186" s="26" t="s">
        <v>57</v>
      </c>
      <c r="G186" s="26" t="s">
        <v>63</v>
      </c>
      <c r="H186" s="28" t="n">
        <v>0</v>
      </c>
      <c r="I186" s="29" t="n">
        <v>0</v>
      </c>
      <c r="J186" s="29" t="n">
        <f aca="false">ROUND(H186*I186,2)</f>
        <v>0</v>
      </c>
      <c r="K186" s="29" t="n">
        <f aca="false">ROUND(J186*'Основания и цены'!$B$4,2)</f>
        <v>0</v>
      </c>
      <c r="L186" s="29" t="n">
        <v>0</v>
      </c>
      <c r="M186" s="29" t="n">
        <f aca="false">ROUND(H186*L186,2)</f>
        <v>0</v>
      </c>
      <c r="N186" s="29" t="n">
        <v>0</v>
      </c>
      <c r="O186" s="29" t="n">
        <f aca="false">ROUND(H186*N186,2)</f>
        <v>0</v>
      </c>
      <c r="P186" s="29" t="n">
        <v>0</v>
      </c>
      <c r="Q186" s="29" t="n">
        <f aca="false">ROUND(H186*P186,2)</f>
        <v>0</v>
      </c>
      <c r="R186" s="29" t="n">
        <f aca="false">ROUND(J186+K186+M186+O186+Q186,2)</f>
        <v>0</v>
      </c>
      <c r="S186" s="26" t="s">
        <v>59</v>
      </c>
      <c r="T186" s="29" t="n">
        <f aca="false">IF(S186="УЧТЕНО",R186,0)</f>
        <v>0</v>
      </c>
      <c r="U186" s="27" t="s">
        <v>518</v>
      </c>
    </row>
    <row r="187" customFormat="false" ht="21.75" hidden="false" customHeight="true" outlineLevel="0" collapsed="false">
      <c r="A187" s="26" t="n">
        <v>2</v>
      </c>
      <c r="B187" s="26" t="s">
        <v>490</v>
      </c>
      <c r="C187" s="26" t="s">
        <v>519</v>
      </c>
      <c r="D187" s="27" t="s">
        <v>520</v>
      </c>
      <c r="E187" s="28" t="s">
        <v>57</v>
      </c>
      <c r="F187" s="26" t="s">
        <v>57</v>
      </c>
      <c r="G187" s="26" t="s">
        <v>58</v>
      </c>
      <c r="H187" s="28" t="n">
        <v>1</v>
      </c>
      <c r="I187" s="29" t="n">
        <v>0</v>
      </c>
      <c r="J187" s="29" t="n">
        <f aca="false">ROUND(H187*I187,2)</f>
        <v>0</v>
      </c>
      <c r="K187" s="29" t="n">
        <f aca="false">ROUND(J187*'Основания и цены'!$B$4,2)</f>
        <v>0</v>
      </c>
      <c r="L187" s="29" t="n">
        <v>0</v>
      </c>
      <c r="M187" s="29" t="n">
        <f aca="false">ROUND(H187*L187,2)</f>
        <v>0</v>
      </c>
      <c r="N187" s="29" t="n">
        <v>47160</v>
      </c>
      <c r="O187" s="29" t="n">
        <f aca="false">ROUND(H187*N187,2)</f>
        <v>47160</v>
      </c>
      <c r="P187" s="29" t="n">
        <v>0</v>
      </c>
      <c r="Q187" s="29" t="n">
        <f aca="false">ROUND(H187*P187,2)</f>
        <v>0</v>
      </c>
      <c r="R187" s="29" t="n">
        <f aca="false">ROUND(J187+K187+M187+O187+Q187,2)</f>
        <v>47160</v>
      </c>
      <c r="S187" s="26" t="s">
        <v>59</v>
      </c>
      <c r="T187" s="29" t="n">
        <f aca="false">IF(S187="УЧТЕНО",R187,0)</f>
        <v>47160</v>
      </c>
      <c r="U187" s="27" t="s">
        <v>521</v>
      </c>
    </row>
    <row r="188" customFormat="false" ht="15" hidden="false" customHeight="true" outlineLevel="0" collapsed="false">
      <c r="A188" s="30"/>
      <c r="B188" s="30"/>
      <c r="C188" s="30"/>
      <c r="D188" s="30" t="s">
        <v>522</v>
      </c>
      <c r="E188" s="30"/>
      <c r="F188" s="30"/>
      <c r="G188" s="30"/>
      <c r="H188" s="30"/>
      <c r="I188" s="30"/>
      <c r="J188" s="31" t="n">
        <f aca="false">ROUND(SUMIF($S$174:$S$187,"УЧТЕНО",$J$174:$J$187),2)</f>
        <v>112153.5</v>
      </c>
      <c r="K188" s="31" t="n">
        <f aca="false">ROUND(SUMIF($S$174:$S$187,"УЧТЕНО",$K$174:$K$187),2)</f>
        <v>33646.05</v>
      </c>
      <c r="L188" s="30"/>
      <c r="M188" s="31" t="n">
        <f aca="false">ROUND(SUMIF($S$174:$S$187,"УЧТЕНО",$M$174:$M$187),2)</f>
        <v>94939.72</v>
      </c>
      <c r="N188" s="30"/>
      <c r="O188" s="31" t="n">
        <f aca="false">ROUND(SUMIF($S$174:$S$187,"УЧТЕНО",$O$174:$O$187),2)</f>
        <v>47160</v>
      </c>
      <c r="P188" s="30"/>
      <c r="Q188" s="31" t="n">
        <f aca="false">ROUND(SUMIF($S$174:$S$187,"УЧТЕНО",$Q$174:$Q$187),2)</f>
        <v>5412</v>
      </c>
      <c r="R188" s="31" t="n">
        <f aca="false">ROUND(J188+K188+M188+O188+Q188,2)</f>
        <v>293311.27</v>
      </c>
      <c r="S188" s="30" t="s">
        <v>72</v>
      </c>
      <c r="T188" s="31" t="n">
        <f aca="false">R188</f>
        <v>293311.27</v>
      </c>
      <c r="U188" s="30"/>
    </row>
    <row r="189" customFormat="false" ht="42" hidden="false" customHeight="true" outlineLevel="0" collapsed="false">
      <c r="A189" s="24" t="s">
        <v>523</v>
      </c>
      <c r="B189" s="24"/>
      <c r="C189" s="24"/>
      <c r="D189" s="24"/>
      <c r="E189" s="24"/>
      <c r="F189" s="24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</row>
    <row r="190" customFormat="false" ht="21.75" hidden="false" customHeight="true" outlineLevel="0" collapsed="false">
      <c r="A190" s="26" t="n">
        <v>2</v>
      </c>
      <c r="B190" s="26" t="s">
        <v>524</v>
      </c>
      <c r="C190" s="26" t="s">
        <v>525</v>
      </c>
      <c r="D190" s="27" t="s">
        <v>526</v>
      </c>
      <c r="E190" s="28" t="s">
        <v>57</v>
      </c>
      <c r="F190" s="26" t="s">
        <v>57</v>
      </c>
      <c r="G190" s="26" t="s">
        <v>180</v>
      </c>
      <c r="H190" s="28" t="n">
        <v>4965</v>
      </c>
      <c r="I190" s="29" t="n">
        <v>29.54</v>
      </c>
      <c r="J190" s="29" t="n">
        <f aca="false">ROUND(H190*I190,2)</f>
        <v>146666.1</v>
      </c>
      <c r="K190" s="29" t="n">
        <f aca="false">ROUND(J190*'Основания и цены'!$B$4,2)</f>
        <v>43999.83</v>
      </c>
      <c r="L190" s="29" t="n">
        <v>0</v>
      </c>
      <c r="M190" s="29" t="n">
        <f aca="false">ROUND(H190*L190,2)</f>
        <v>0</v>
      </c>
      <c r="N190" s="29" t="n">
        <v>0</v>
      </c>
      <c r="O190" s="29" t="n">
        <f aca="false">ROUND(H190*N190,2)</f>
        <v>0</v>
      </c>
      <c r="P190" s="29" t="n">
        <v>0</v>
      </c>
      <c r="Q190" s="29" t="n">
        <f aca="false">ROUND(H190*P190,2)</f>
        <v>0</v>
      </c>
      <c r="R190" s="29" t="n">
        <f aca="false">ROUND(J190+K190+M190+O190+Q190,2)</f>
        <v>190665.93</v>
      </c>
      <c r="S190" s="26" t="s">
        <v>59</v>
      </c>
      <c r="T190" s="29" t="n">
        <f aca="false">IF(S190="УЧТЕНО",R190,0)</f>
        <v>190665.93</v>
      </c>
      <c r="U190" s="27" t="s">
        <v>527</v>
      </c>
    </row>
    <row r="191" customFormat="false" ht="30.75" hidden="false" customHeight="true" outlineLevel="0" collapsed="false">
      <c r="A191" s="26" t="n">
        <v>2</v>
      </c>
      <c r="B191" s="26" t="s">
        <v>524</v>
      </c>
      <c r="C191" s="26" t="s">
        <v>528</v>
      </c>
      <c r="D191" s="27" t="s">
        <v>339</v>
      </c>
      <c r="E191" s="28" t="s">
        <v>57</v>
      </c>
      <c r="F191" s="26" t="s">
        <v>57</v>
      </c>
      <c r="G191" s="26" t="s">
        <v>180</v>
      </c>
      <c r="H191" s="28" t="n">
        <v>5460</v>
      </c>
      <c r="I191" s="29" t="n">
        <v>0</v>
      </c>
      <c r="J191" s="29" t="n">
        <f aca="false">ROUND(H191*I191,2)</f>
        <v>0</v>
      </c>
      <c r="K191" s="29" t="n">
        <f aca="false">ROUND(J191*'Основания и цены'!$B$4,2)</f>
        <v>0</v>
      </c>
      <c r="L191" s="29" t="n">
        <f aca="false">Материалы!G85</f>
        <v>29.4</v>
      </c>
      <c r="M191" s="29" t="n">
        <f aca="false">ROUND(H191*L191,2)</f>
        <v>160524</v>
      </c>
      <c r="N191" s="29" t="n">
        <v>0</v>
      </c>
      <c r="O191" s="29" t="n">
        <f aca="false">ROUND(H191*N191,2)</f>
        <v>0</v>
      </c>
      <c r="P191" s="29" t="n">
        <v>0</v>
      </c>
      <c r="Q191" s="29" t="n">
        <f aca="false">ROUND(H191*P191,2)</f>
        <v>0</v>
      </c>
      <c r="R191" s="29" t="n">
        <f aca="false">ROUND(J191+K191+M191+O191+Q191,2)</f>
        <v>160524</v>
      </c>
      <c r="S191" s="26" t="s">
        <v>59</v>
      </c>
      <c r="T191" s="29" t="n">
        <f aca="false">IF(S191="УЧТЕНО",R191,0)</f>
        <v>160524</v>
      </c>
      <c r="U191" s="27" t="s">
        <v>529</v>
      </c>
    </row>
    <row r="192" customFormat="false" ht="21.75" hidden="false" customHeight="true" outlineLevel="0" collapsed="false">
      <c r="A192" s="26" t="n">
        <v>2</v>
      </c>
      <c r="B192" s="26" t="s">
        <v>524</v>
      </c>
      <c r="C192" s="26" t="s">
        <v>530</v>
      </c>
      <c r="D192" s="27" t="s">
        <v>345</v>
      </c>
      <c r="E192" s="28" t="s">
        <v>57</v>
      </c>
      <c r="F192" s="26" t="s">
        <v>57</v>
      </c>
      <c r="G192" s="26" t="s">
        <v>116</v>
      </c>
      <c r="H192" s="28" t="n">
        <v>5.43</v>
      </c>
      <c r="I192" s="29" t="n">
        <v>0</v>
      </c>
      <c r="J192" s="29" t="n">
        <f aca="false">ROUND(H192*I192,2)</f>
        <v>0</v>
      </c>
      <c r="K192" s="29" t="n">
        <f aca="false">ROUND(J192*'Основания и цены'!$B$4,2)</f>
        <v>0</v>
      </c>
      <c r="L192" s="29" t="n">
        <f aca="false">Материалы!G86</f>
        <v>1200</v>
      </c>
      <c r="M192" s="29" t="n">
        <f aca="false">ROUND(H192*L192,2)</f>
        <v>6516</v>
      </c>
      <c r="N192" s="29" t="n">
        <v>0</v>
      </c>
      <c r="O192" s="29" t="n">
        <f aca="false">ROUND(H192*N192,2)</f>
        <v>0</v>
      </c>
      <c r="P192" s="29" t="n">
        <v>0</v>
      </c>
      <c r="Q192" s="29" t="n">
        <f aca="false">ROUND(H192*P192,2)</f>
        <v>0</v>
      </c>
      <c r="R192" s="29" t="n">
        <f aca="false">ROUND(J192+K192+M192+O192+Q192,2)</f>
        <v>6516</v>
      </c>
      <c r="S192" s="26" t="s">
        <v>59</v>
      </c>
      <c r="T192" s="29" t="n">
        <f aca="false">IF(S192="УЧТЕНО",R192,0)</f>
        <v>6516</v>
      </c>
      <c r="U192" s="27" t="s">
        <v>531</v>
      </c>
    </row>
    <row r="193" customFormat="false" ht="21.75" hidden="false" customHeight="true" outlineLevel="0" collapsed="false">
      <c r="A193" s="26" t="n">
        <v>2</v>
      </c>
      <c r="B193" s="26" t="s">
        <v>524</v>
      </c>
      <c r="C193" s="26" t="s">
        <v>532</v>
      </c>
      <c r="D193" s="27" t="s">
        <v>348</v>
      </c>
      <c r="E193" s="28" t="s">
        <v>57</v>
      </c>
      <c r="F193" s="26" t="s">
        <v>57</v>
      </c>
      <c r="G193" s="26" t="s">
        <v>349</v>
      </c>
      <c r="H193" s="28" t="n">
        <v>40</v>
      </c>
      <c r="I193" s="29" t="n">
        <v>0</v>
      </c>
      <c r="J193" s="29" t="n">
        <f aca="false">ROUND(H193*I193,2)</f>
        <v>0</v>
      </c>
      <c r="K193" s="29" t="n">
        <f aca="false">ROUND(J193*'Основания и цены'!$B$4,2)</f>
        <v>0</v>
      </c>
      <c r="L193" s="29" t="n">
        <f aca="false">Материалы!G87</f>
        <v>650.4</v>
      </c>
      <c r="M193" s="29" t="n">
        <f aca="false">ROUND(H193*L193,2)</f>
        <v>26016</v>
      </c>
      <c r="N193" s="29" t="n">
        <v>0</v>
      </c>
      <c r="O193" s="29" t="n">
        <f aca="false">ROUND(H193*N193,2)</f>
        <v>0</v>
      </c>
      <c r="P193" s="29" t="n">
        <v>0</v>
      </c>
      <c r="Q193" s="29" t="n">
        <f aca="false">ROUND(H193*P193,2)</f>
        <v>0</v>
      </c>
      <c r="R193" s="29" t="n">
        <f aca="false">ROUND(J193+K193+M193+O193+Q193,2)</f>
        <v>26016</v>
      </c>
      <c r="S193" s="26" t="s">
        <v>59</v>
      </c>
      <c r="T193" s="29" t="n">
        <f aca="false">IF(S193="УЧТЕНО",R193,0)</f>
        <v>26016</v>
      </c>
      <c r="U193" s="27" t="s">
        <v>533</v>
      </c>
    </row>
    <row r="194" customFormat="false" ht="21.75" hidden="false" customHeight="true" outlineLevel="0" collapsed="false">
      <c r="A194" s="26" t="n">
        <v>2</v>
      </c>
      <c r="B194" s="26" t="s">
        <v>524</v>
      </c>
      <c r="C194" s="26" t="s">
        <v>534</v>
      </c>
      <c r="D194" s="27" t="s">
        <v>215</v>
      </c>
      <c r="E194" s="28" t="s">
        <v>57</v>
      </c>
      <c r="F194" s="26" t="s">
        <v>57</v>
      </c>
      <c r="G194" s="26" t="s">
        <v>212</v>
      </c>
      <c r="H194" s="28" t="n">
        <v>1</v>
      </c>
      <c r="I194" s="29" t="n">
        <v>0</v>
      </c>
      <c r="J194" s="29" t="n">
        <f aca="false">ROUND(H194*I194,2)</f>
        <v>0</v>
      </c>
      <c r="K194" s="29" t="n">
        <f aca="false">ROUND(J194*'Основания и цены'!$B$4,2)</f>
        <v>0</v>
      </c>
      <c r="L194" s="29" t="n">
        <f aca="false">Материалы!G88</f>
        <v>3861.12</v>
      </c>
      <c r="M194" s="29" t="n">
        <f aca="false">ROUND(H194*L194,2)</f>
        <v>3861.12</v>
      </c>
      <c r="N194" s="29" t="n">
        <v>0</v>
      </c>
      <c r="O194" s="29" t="n">
        <f aca="false">ROUND(H194*N194,2)</f>
        <v>0</v>
      </c>
      <c r="P194" s="29" t="n">
        <v>0</v>
      </c>
      <c r="Q194" s="29" t="n">
        <f aca="false">ROUND(H194*P194,2)</f>
        <v>0</v>
      </c>
      <c r="R194" s="29" t="n">
        <f aca="false">ROUND(J194+K194+M194+O194+Q194,2)</f>
        <v>3861.12</v>
      </c>
      <c r="S194" s="26" t="s">
        <v>59</v>
      </c>
      <c r="T194" s="29" t="n">
        <f aca="false">IF(S194="УЧТЕНО",R194,0)</f>
        <v>3861.12</v>
      </c>
      <c r="U194" s="27" t="s">
        <v>535</v>
      </c>
    </row>
    <row r="195" customFormat="false" ht="21.75" hidden="false" customHeight="true" outlineLevel="0" collapsed="false">
      <c r="A195" s="26" t="n">
        <v>2</v>
      </c>
      <c r="B195" s="26" t="s">
        <v>524</v>
      </c>
      <c r="C195" s="26" t="s">
        <v>536</v>
      </c>
      <c r="D195" s="27" t="s">
        <v>360</v>
      </c>
      <c r="E195" s="28" t="s">
        <v>57</v>
      </c>
      <c r="F195" s="26" t="s">
        <v>57</v>
      </c>
      <c r="G195" s="26" t="s">
        <v>63</v>
      </c>
      <c r="H195" s="28" t="n">
        <v>2</v>
      </c>
      <c r="I195" s="29" t="n">
        <v>0</v>
      </c>
      <c r="J195" s="29" t="n">
        <f aca="false">ROUND(H195*I195,2)</f>
        <v>0</v>
      </c>
      <c r="K195" s="29" t="n">
        <f aca="false">ROUND(J195*'Основания и цены'!$B$4,2)</f>
        <v>0</v>
      </c>
      <c r="L195" s="29" t="n">
        <v>0</v>
      </c>
      <c r="M195" s="29" t="n">
        <f aca="false">ROUND(H195*L195,2)</f>
        <v>0</v>
      </c>
      <c r="N195" s="29" t="n">
        <v>0</v>
      </c>
      <c r="O195" s="29" t="n">
        <f aca="false">ROUND(H195*N195,2)</f>
        <v>0</v>
      </c>
      <c r="P195" s="29" t="n">
        <v>24000</v>
      </c>
      <c r="Q195" s="29" t="n">
        <f aca="false">ROUND(H195*P195,2)</f>
        <v>48000</v>
      </c>
      <c r="R195" s="29" t="n">
        <f aca="false">ROUND(J195+K195+M195+O195+Q195,2)</f>
        <v>48000</v>
      </c>
      <c r="S195" s="26" t="s">
        <v>59</v>
      </c>
      <c r="T195" s="29" t="n">
        <f aca="false">IF(S195="УЧТЕНО",R195,0)</f>
        <v>48000</v>
      </c>
      <c r="U195" s="27" t="s">
        <v>537</v>
      </c>
    </row>
    <row r="196" customFormat="false" ht="15" hidden="false" customHeight="true" outlineLevel="0" collapsed="false">
      <c r="A196" s="30"/>
      <c r="B196" s="30"/>
      <c r="C196" s="30"/>
      <c r="D196" s="30" t="s">
        <v>538</v>
      </c>
      <c r="E196" s="30"/>
      <c r="F196" s="30"/>
      <c r="G196" s="30"/>
      <c r="H196" s="30"/>
      <c r="I196" s="30"/>
      <c r="J196" s="31" t="n">
        <f aca="false">ROUND(SUMIF($S$190:$S$195,"УЧТЕНО",$J$190:$J$195),2)</f>
        <v>146666.1</v>
      </c>
      <c r="K196" s="31" t="n">
        <f aca="false">ROUND(SUMIF($S$190:$S$195,"УЧТЕНО",$K$190:$K$195),2)</f>
        <v>43999.83</v>
      </c>
      <c r="L196" s="30"/>
      <c r="M196" s="31" t="n">
        <f aca="false">ROUND(SUMIF($S$190:$S$195,"УЧТЕНО",$M$190:$M$195),2)</f>
        <v>196917.12</v>
      </c>
      <c r="N196" s="30"/>
      <c r="O196" s="31" t="n">
        <f aca="false">ROUND(SUMIF($S$190:$S$195,"УЧТЕНО",$O$190:$O$195),2)</f>
        <v>0</v>
      </c>
      <c r="P196" s="30"/>
      <c r="Q196" s="31" t="n">
        <f aca="false">ROUND(SUMIF($S$190:$S$195,"УЧТЕНО",$Q$190:$Q$195),2)</f>
        <v>48000</v>
      </c>
      <c r="R196" s="31" t="n">
        <f aca="false">ROUND(J196+K196+M196+O196+Q196,2)</f>
        <v>435583.05</v>
      </c>
      <c r="S196" s="30" t="s">
        <v>72</v>
      </c>
      <c r="T196" s="31" t="n">
        <f aca="false">R196</f>
        <v>435583.05</v>
      </c>
      <c r="U196" s="30"/>
    </row>
    <row r="197" customFormat="false" ht="15" hidden="false" customHeight="true" outlineLevel="0" collapsed="false">
      <c r="A197" s="36"/>
      <c r="B197" s="36"/>
      <c r="C197" s="36"/>
      <c r="D197" s="36" t="s">
        <v>539</v>
      </c>
      <c r="E197" s="36"/>
      <c r="F197" s="36"/>
      <c r="G197" s="36"/>
      <c r="H197" s="36"/>
      <c r="I197" s="36"/>
      <c r="J197" s="37" t="n">
        <f aca="false">ROUND(SUM(J118,J135,J151,J172,J188,J196),2)</f>
        <v>2305021.17</v>
      </c>
      <c r="K197" s="37" t="n">
        <f aca="false">ROUND(SUM(K118,K135,K151,K172,K188,K196),2)</f>
        <v>691506.35</v>
      </c>
      <c r="L197" s="36"/>
      <c r="M197" s="37" t="n">
        <f aca="false">ROUND(SUM(M118,M135,M151,M172,M188,M196),2)</f>
        <v>9745861.57</v>
      </c>
      <c r="N197" s="36"/>
      <c r="O197" s="37" t="n">
        <f aca="false">ROUND(SUM(O118,O135,O151,O172,O188,O196),2)</f>
        <v>108360</v>
      </c>
      <c r="P197" s="36"/>
      <c r="Q197" s="37" t="n">
        <f aca="false">ROUND(SUM(Q118,Q135,Q151,Q172,Q188,Q196),2)</f>
        <v>758868</v>
      </c>
      <c r="R197" s="37" t="n">
        <f aca="false">ROUND(SUM(R118,R135,R151,R172,R188,R196),2)</f>
        <v>13609617.09</v>
      </c>
      <c r="S197" s="36" t="s">
        <v>284</v>
      </c>
      <c r="T197" s="37" t="n">
        <f aca="false">ROUND(SUM(T118,T135,T151,T172,T188,T196),2)</f>
        <v>13609617.09</v>
      </c>
      <c r="U197" s="36"/>
    </row>
    <row r="198" customFormat="false" ht="25.5" hidden="false" customHeight="true" outlineLevel="0" collapsed="false">
      <c r="A198" s="22" t="s">
        <v>15</v>
      </c>
      <c r="B198" s="22"/>
      <c r="C198" s="22"/>
      <c r="D198" s="22"/>
      <c r="E198" s="22"/>
      <c r="F198" s="22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</row>
    <row r="199" customFormat="false" ht="42" hidden="false" customHeight="true" outlineLevel="0" collapsed="false">
      <c r="A199" s="24" t="s">
        <v>540</v>
      </c>
      <c r="B199" s="24"/>
      <c r="C199" s="24"/>
      <c r="D199" s="24"/>
      <c r="E199" s="24"/>
      <c r="F199" s="24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</row>
    <row r="200" customFormat="false" ht="30.75" hidden="false" customHeight="true" outlineLevel="0" collapsed="false">
      <c r="A200" s="26" t="n">
        <v>3</v>
      </c>
      <c r="B200" s="26" t="s">
        <v>54</v>
      </c>
      <c r="C200" s="26" t="s">
        <v>55</v>
      </c>
      <c r="D200" s="27" t="s">
        <v>541</v>
      </c>
      <c r="E200" s="28" t="n">
        <v>68.12</v>
      </c>
      <c r="F200" s="26" t="s">
        <v>80</v>
      </c>
      <c r="G200" s="26" t="s">
        <v>542</v>
      </c>
      <c r="H200" s="28" t="n">
        <v>68.12</v>
      </c>
      <c r="I200" s="29" t="n">
        <v>1938.46</v>
      </c>
      <c r="J200" s="29" t="n">
        <f aca="false">ROUND(H200*I200,2)</f>
        <v>132047.9</v>
      </c>
      <c r="K200" s="29" t="n">
        <f aca="false">ROUND(J200*'Основания и цены'!$B$4,2)</f>
        <v>39614.37</v>
      </c>
      <c r="L200" s="29" t="n">
        <v>0</v>
      </c>
      <c r="M200" s="29" t="n">
        <f aca="false">ROUND(H200*L200,2)</f>
        <v>0</v>
      </c>
      <c r="N200" s="29" t="n">
        <v>0</v>
      </c>
      <c r="O200" s="29" t="n">
        <f aca="false">ROUND(H200*N200,2)</f>
        <v>0</v>
      </c>
      <c r="P200" s="29" t="n">
        <v>0</v>
      </c>
      <c r="Q200" s="29" t="n">
        <f aca="false">ROUND(H200*P200,2)</f>
        <v>0</v>
      </c>
      <c r="R200" s="29" t="n">
        <f aca="false">ROUND(J200+K200+M200+O200+Q200,2)</f>
        <v>171662.27</v>
      </c>
      <c r="S200" s="26" t="s">
        <v>59</v>
      </c>
      <c r="T200" s="29" t="n">
        <f aca="false">IF(S200="УЧТЕНО",R200,0)</f>
        <v>171662.27</v>
      </c>
      <c r="U200" s="27" t="s">
        <v>543</v>
      </c>
    </row>
    <row r="201" customFormat="false" ht="30.75" hidden="false" customHeight="true" outlineLevel="0" collapsed="false">
      <c r="A201" s="26" t="n">
        <v>3</v>
      </c>
      <c r="B201" s="26" t="s">
        <v>54</v>
      </c>
      <c r="C201" s="26" t="s">
        <v>61</v>
      </c>
      <c r="D201" s="27" t="s">
        <v>544</v>
      </c>
      <c r="E201" s="28" t="s">
        <v>57</v>
      </c>
      <c r="F201" s="26" t="s">
        <v>57</v>
      </c>
      <c r="G201" s="26" t="s">
        <v>545</v>
      </c>
      <c r="H201" s="28" t="n">
        <v>2</v>
      </c>
      <c r="I201" s="29" t="n">
        <v>0</v>
      </c>
      <c r="J201" s="29" t="n">
        <f aca="false">ROUND(H201*I201,2)</f>
        <v>0</v>
      </c>
      <c r="K201" s="29" t="n">
        <f aca="false">ROUND(J201*'Основания и цены'!$B$4,2)</f>
        <v>0</v>
      </c>
      <c r="L201" s="29" t="n">
        <f aca="false">Материалы!G89</f>
        <v>68514</v>
      </c>
      <c r="M201" s="29" t="n">
        <f aca="false">ROUND(H201*L201,2)</f>
        <v>137028</v>
      </c>
      <c r="N201" s="29" t="n">
        <v>0</v>
      </c>
      <c r="O201" s="29" t="n">
        <f aca="false">ROUND(H201*N201,2)</f>
        <v>0</v>
      </c>
      <c r="P201" s="29" t="n">
        <v>0</v>
      </c>
      <c r="Q201" s="29" t="n">
        <f aca="false">ROUND(H201*P201,2)</f>
        <v>0</v>
      </c>
      <c r="R201" s="29" t="n">
        <f aca="false">ROUND(J201+K201+M201+O201+Q201,2)</f>
        <v>137028</v>
      </c>
      <c r="S201" s="26" t="s">
        <v>59</v>
      </c>
      <c r="T201" s="29" t="n">
        <f aca="false">IF(S201="УЧТЕНО",R201,0)</f>
        <v>137028</v>
      </c>
      <c r="U201" s="27" t="s">
        <v>546</v>
      </c>
    </row>
    <row r="202" customFormat="false" ht="30.75" hidden="false" customHeight="true" outlineLevel="0" collapsed="false">
      <c r="A202" s="26" t="n">
        <v>3</v>
      </c>
      <c r="B202" s="26" t="s">
        <v>54</v>
      </c>
      <c r="C202" s="26" t="s">
        <v>65</v>
      </c>
      <c r="D202" s="27" t="s">
        <v>547</v>
      </c>
      <c r="E202" s="28" t="s">
        <v>57</v>
      </c>
      <c r="F202" s="26" t="s">
        <v>57</v>
      </c>
      <c r="G202" s="26" t="s">
        <v>176</v>
      </c>
      <c r="H202" s="28" t="n">
        <v>1</v>
      </c>
      <c r="I202" s="29" t="n">
        <v>0</v>
      </c>
      <c r="J202" s="29" t="n">
        <f aca="false">ROUND(H202*I202,2)</f>
        <v>0</v>
      </c>
      <c r="K202" s="29" t="n">
        <f aca="false">ROUND(J202*'Основания и цены'!$B$4,2)</f>
        <v>0</v>
      </c>
      <c r="L202" s="29" t="n">
        <f aca="false">Материалы!G90</f>
        <v>25200</v>
      </c>
      <c r="M202" s="29" t="n">
        <f aca="false">ROUND(H202*L202,2)</f>
        <v>25200</v>
      </c>
      <c r="N202" s="29" t="n">
        <v>0</v>
      </c>
      <c r="O202" s="29" t="n">
        <f aca="false">ROUND(H202*N202,2)</f>
        <v>0</v>
      </c>
      <c r="P202" s="29" t="n">
        <v>0</v>
      </c>
      <c r="Q202" s="29" t="n">
        <f aca="false">ROUND(H202*P202,2)</f>
        <v>0</v>
      </c>
      <c r="R202" s="29" t="n">
        <f aca="false">ROUND(J202+K202+M202+O202+Q202,2)</f>
        <v>25200</v>
      </c>
      <c r="S202" s="26" t="s">
        <v>59</v>
      </c>
      <c r="T202" s="29" t="n">
        <f aca="false">IF(S202="УЧТЕНО",R202,0)</f>
        <v>25200</v>
      </c>
      <c r="U202" s="27" t="s">
        <v>548</v>
      </c>
    </row>
    <row r="203" customFormat="false" ht="30.75" hidden="false" customHeight="true" outlineLevel="0" collapsed="false">
      <c r="A203" s="26" t="n">
        <v>3</v>
      </c>
      <c r="B203" s="26" t="s">
        <v>54</v>
      </c>
      <c r="C203" s="26" t="s">
        <v>68</v>
      </c>
      <c r="D203" s="27" t="s">
        <v>549</v>
      </c>
      <c r="E203" s="28" t="s">
        <v>57</v>
      </c>
      <c r="F203" s="26" t="s">
        <v>57</v>
      </c>
      <c r="G203" s="26" t="s">
        <v>545</v>
      </c>
      <c r="H203" s="28" t="n">
        <v>1</v>
      </c>
      <c r="I203" s="29" t="n">
        <v>0</v>
      </c>
      <c r="J203" s="29" t="n">
        <f aca="false">ROUND(H203*I203,2)</f>
        <v>0</v>
      </c>
      <c r="K203" s="29" t="n">
        <f aca="false">ROUND(J203*'Основания и цены'!$B$4,2)</f>
        <v>0</v>
      </c>
      <c r="L203" s="29" t="n">
        <f aca="false">Материалы!G91</f>
        <v>12475.2</v>
      </c>
      <c r="M203" s="29" t="n">
        <f aca="false">ROUND(H203*L203,2)</f>
        <v>12475.2</v>
      </c>
      <c r="N203" s="29" t="n">
        <v>0</v>
      </c>
      <c r="O203" s="29" t="n">
        <f aca="false">ROUND(H203*N203,2)</f>
        <v>0</v>
      </c>
      <c r="P203" s="29" t="n">
        <v>0</v>
      </c>
      <c r="Q203" s="29" t="n">
        <f aca="false">ROUND(H203*P203,2)</f>
        <v>0</v>
      </c>
      <c r="R203" s="29" t="n">
        <f aca="false">ROUND(J203+K203+M203+O203+Q203,2)</f>
        <v>12475.2</v>
      </c>
      <c r="S203" s="26" t="s">
        <v>59</v>
      </c>
      <c r="T203" s="29" t="n">
        <f aca="false">IF(S203="УЧТЕНО",R203,0)</f>
        <v>12475.2</v>
      </c>
      <c r="U203" s="27" t="s">
        <v>550</v>
      </c>
    </row>
    <row r="204" customFormat="false" ht="21.75" hidden="false" customHeight="true" outlineLevel="0" collapsed="false">
      <c r="A204" s="26" t="n">
        <v>3</v>
      </c>
      <c r="B204" s="26" t="s">
        <v>54</v>
      </c>
      <c r="C204" s="26" t="s">
        <v>295</v>
      </c>
      <c r="D204" s="27" t="s">
        <v>551</v>
      </c>
      <c r="E204" s="28" t="n">
        <v>68.12</v>
      </c>
      <c r="F204" s="26" t="s">
        <v>80</v>
      </c>
      <c r="G204" s="26" t="s">
        <v>80</v>
      </c>
      <c r="H204" s="28" t="n">
        <v>68.12</v>
      </c>
      <c r="I204" s="29" t="n">
        <v>1153.85</v>
      </c>
      <c r="J204" s="29" t="n">
        <f aca="false">ROUND(H204*I204,2)</f>
        <v>78600.26</v>
      </c>
      <c r="K204" s="29" t="n">
        <f aca="false">ROUND(J204*'Основания и цены'!$B$4,2)</f>
        <v>23580.08</v>
      </c>
      <c r="L204" s="29" t="n">
        <f aca="false">Материалы!G92</f>
        <v>3699</v>
      </c>
      <c r="M204" s="29" t="n">
        <f aca="false">ROUND(H204*L204,2)</f>
        <v>251975.88</v>
      </c>
      <c r="N204" s="29" t="n">
        <v>0</v>
      </c>
      <c r="O204" s="29" t="n">
        <f aca="false">ROUND(H204*N204,2)</f>
        <v>0</v>
      </c>
      <c r="P204" s="29" t="n">
        <v>0</v>
      </c>
      <c r="Q204" s="29" t="n">
        <f aca="false">ROUND(H204*P204,2)</f>
        <v>0</v>
      </c>
      <c r="R204" s="29" t="n">
        <f aca="false">ROUND(J204+K204+M204+O204+Q204,2)</f>
        <v>354156.22</v>
      </c>
      <c r="S204" s="26" t="s">
        <v>59</v>
      </c>
      <c r="T204" s="29" t="n">
        <f aca="false">IF(S204="УЧТЕНО",R204,0)</f>
        <v>354156.22</v>
      </c>
      <c r="U204" s="27" t="s">
        <v>552</v>
      </c>
    </row>
    <row r="205" customFormat="false" ht="30.75" hidden="false" customHeight="true" outlineLevel="0" collapsed="false">
      <c r="A205" s="26" t="n">
        <v>3</v>
      </c>
      <c r="B205" s="26" t="s">
        <v>54</v>
      </c>
      <c r="C205" s="26" t="s">
        <v>298</v>
      </c>
      <c r="D205" s="27" t="s">
        <v>553</v>
      </c>
      <c r="E205" s="28" t="s">
        <v>57</v>
      </c>
      <c r="F205" s="26" t="s">
        <v>57</v>
      </c>
      <c r="G205" s="26" t="s">
        <v>176</v>
      </c>
      <c r="H205" s="28" t="n">
        <v>100</v>
      </c>
      <c r="I205" s="29" t="n">
        <v>0</v>
      </c>
      <c r="J205" s="29" t="n">
        <f aca="false">ROUND(H205*I205,2)</f>
        <v>0</v>
      </c>
      <c r="K205" s="29" t="n">
        <f aca="false">ROUND(J205*'Основания и цены'!$B$4,2)</f>
        <v>0</v>
      </c>
      <c r="L205" s="29" t="n">
        <f aca="false">Материалы!G93</f>
        <v>3422.47</v>
      </c>
      <c r="M205" s="29" t="n">
        <f aca="false">ROUND(H205*L205,2)</f>
        <v>342247</v>
      </c>
      <c r="N205" s="29" t="n">
        <v>0</v>
      </c>
      <c r="O205" s="29" t="n">
        <f aca="false">ROUND(H205*N205,2)</f>
        <v>0</v>
      </c>
      <c r="P205" s="29" t="n">
        <v>0</v>
      </c>
      <c r="Q205" s="29" t="n">
        <f aca="false">ROUND(H205*P205,2)</f>
        <v>0</v>
      </c>
      <c r="R205" s="29" t="n">
        <f aca="false">ROUND(J205+K205+M205+O205+Q205,2)</f>
        <v>342247</v>
      </c>
      <c r="S205" s="26" t="s">
        <v>59</v>
      </c>
      <c r="T205" s="29" t="n">
        <f aca="false">IF(S205="УЧТЕНО",R205,0)</f>
        <v>342247</v>
      </c>
      <c r="U205" s="27" t="s">
        <v>554</v>
      </c>
    </row>
    <row r="206" customFormat="false" ht="30.75" hidden="false" customHeight="true" outlineLevel="0" collapsed="false">
      <c r="A206" s="26" t="n">
        <v>3</v>
      </c>
      <c r="B206" s="26" t="s">
        <v>54</v>
      </c>
      <c r="C206" s="26" t="s">
        <v>301</v>
      </c>
      <c r="D206" s="27" t="s">
        <v>555</v>
      </c>
      <c r="E206" s="28" t="s">
        <v>57</v>
      </c>
      <c r="F206" s="26" t="s">
        <v>57</v>
      </c>
      <c r="G206" s="26" t="s">
        <v>545</v>
      </c>
      <c r="H206" s="28" t="n">
        <v>2</v>
      </c>
      <c r="I206" s="29" t="n">
        <v>0</v>
      </c>
      <c r="J206" s="29" t="n">
        <f aca="false">ROUND(H206*I206,2)</f>
        <v>0</v>
      </c>
      <c r="K206" s="29" t="n">
        <f aca="false">ROUND(J206*'Основания и цены'!$B$4,2)</f>
        <v>0</v>
      </c>
      <c r="L206" s="29" t="n">
        <f aca="false">Материалы!G94</f>
        <v>18301.2</v>
      </c>
      <c r="M206" s="29" t="n">
        <f aca="false">ROUND(H206*L206,2)</f>
        <v>36602.4</v>
      </c>
      <c r="N206" s="29" t="n">
        <v>0</v>
      </c>
      <c r="O206" s="29" t="n">
        <f aca="false">ROUND(H206*N206,2)</f>
        <v>0</v>
      </c>
      <c r="P206" s="29" t="n">
        <v>0</v>
      </c>
      <c r="Q206" s="29" t="n">
        <f aca="false">ROUND(H206*P206,2)</f>
        <v>0</v>
      </c>
      <c r="R206" s="29" t="n">
        <f aca="false">ROUND(J206+K206+M206+O206+Q206,2)</f>
        <v>36602.4</v>
      </c>
      <c r="S206" s="26" t="s">
        <v>59</v>
      </c>
      <c r="T206" s="29" t="n">
        <f aca="false">IF(S206="УЧТЕНО",R206,0)</f>
        <v>36602.4</v>
      </c>
      <c r="U206" s="27" t="s">
        <v>556</v>
      </c>
    </row>
    <row r="207" customFormat="false" ht="30.75" hidden="false" customHeight="true" outlineLevel="0" collapsed="false">
      <c r="A207" s="26" t="n">
        <v>3</v>
      </c>
      <c r="B207" s="26" t="s">
        <v>54</v>
      </c>
      <c r="C207" s="26" t="s">
        <v>304</v>
      </c>
      <c r="D207" s="27" t="s">
        <v>557</v>
      </c>
      <c r="E207" s="28" t="s">
        <v>57</v>
      </c>
      <c r="F207" s="26" t="s">
        <v>57</v>
      </c>
      <c r="G207" s="26" t="s">
        <v>545</v>
      </c>
      <c r="H207" s="28" t="n">
        <v>8</v>
      </c>
      <c r="I207" s="29" t="n">
        <v>0</v>
      </c>
      <c r="J207" s="29" t="n">
        <f aca="false">ROUND(H207*I207,2)</f>
        <v>0</v>
      </c>
      <c r="K207" s="29" t="n">
        <f aca="false">ROUND(J207*'Основания и цены'!$B$4,2)</f>
        <v>0</v>
      </c>
      <c r="L207" s="29" t="n">
        <f aca="false">Материалы!G95</f>
        <v>4975.2</v>
      </c>
      <c r="M207" s="29" t="n">
        <f aca="false">ROUND(H207*L207,2)</f>
        <v>39801.6</v>
      </c>
      <c r="N207" s="29" t="n">
        <v>0</v>
      </c>
      <c r="O207" s="29" t="n">
        <f aca="false">ROUND(H207*N207,2)</f>
        <v>0</v>
      </c>
      <c r="P207" s="29" t="n">
        <v>0</v>
      </c>
      <c r="Q207" s="29" t="n">
        <f aca="false">ROUND(H207*P207,2)</f>
        <v>0</v>
      </c>
      <c r="R207" s="29" t="n">
        <f aca="false">ROUND(J207+K207+M207+O207+Q207,2)</f>
        <v>39801.6</v>
      </c>
      <c r="S207" s="26" t="s">
        <v>59</v>
      </c>
      <c r="T207" s="29" t="n">
        <f aca="false">IF(S207="УЧТЕНО",R207,0)</f>
        <v>39801.6</v>
      </c>
      <c r="U207" s="27" t="s">
        <v>558</v>
      </c>
    </row>
    <row r="208" customFormat="false" ht="21.75" hidden="false" customHeight="true" outlineLevel="0" collapsed="false">
      <c r="A208" s="26" t="n">
        <v>3</v>
      </c>
      <c r="B208" s="26" t="s">
        <v>54</v>
      </c>
      <c r="C208" s="26" t="s">
        <v>307</v>
      </c>
      <c r="D208" s="27" t="s">
        <v>211</v>
      </c>
      <c r="E208" s="28" t="s">
        <v>57</v>
      </c>
      <c r="F208" s="26" t="s">
        <v>57</v>
      </c>
      <c r="G208" s="26" t="s">
        <v>212</v>
      </c>
      <c r="H208" s="28" t="n">
        <v>1</v>
      </c>
      <c r="I208" s="29" t="n">
        <v>0</v>
      </c>
      <c r="J208" s="29" t="n">
        <f aca="false">ROUND(H208*I208,2)</f>
        <v>0</v>
      </c>
      <c r="K208" s="29" t="n">
        <f aca="false">ROUND(J208*'Основания и цены'!$B$4,2)</f>
        <v>0</v>
      </c>
      <c r="L208" s="29" t="n">
        <f aca="false">Материалы!G96</f>
        <v>16906.6</v>
      </c>
      <c r="M208" s="29" t="n">
        <f aca="false">ROUND(H208*L208,2)</f>
        <v>16906.6</v>
      </c>
      <c r="N208" s="29" t="n">
        <v>0</v>
      </c>
      <c r="O208" s="29" t="n">
        <f aca="false">ROUND(H208*N208,2)</f>
        <v>0</v>
      </c>
      <c r="P208" s="29" t="n">
        <v>0</v>
      </c>
      <c r="Q208" s="29" t="n">
        <f aca="false">ROUND(H208*P208,2)</f>
        <v>0</v>
      </c>
      <c r="R208" s="29" t="n">
        <f aca="false">ROUND(J208+K208+M208+O208+Q208,2)</f>
        <v>16906.6</v>
      </c>
      <c r="S208" s="26" t="s">
        <v>59</v>
      </c>
      <c r="T208" s="29" t="n">
        <f aca="false">IF(S208="УЧТЕНО",R208,0)</f>
        <v>16906.6</v>
      </c>
      <c r="U208" s="27" t="s">
        <v>559</v>
      </c>
    </row>
    <row r="209" customFormat="false" ht="21.75" hidden="false" customHeight="true" outlineLevel="0" collapsed="false">
      <c r="A209" s="26" t="n">
        <v>3</v>
      </c>
      <c r="B209" s="26" t="s">
        <v>54</v>
      </c>
      <c r="C209" s="26" t="s">
        <v>310</v>
      </c>
      <c r="D209" s="27" t="s">
        <v>560</v>
      </c>
      <c r="E209" s="28" t="s">
        <v>57</v>
      </c>
      <c r="F209" s="26" t="s">
        <v>57</v>
      </c>
      <c r="G209" s="26" t="s">
        <v>63</v>
      </c>
      <c r="H209" s="28" t="n">
        <v>1</v>
      </c>
      <c r="I209" s="29" t="n">
        <v>0</v>
      </c>
      <c r="J209" s="29" t="n">
        <f aca="false">ROUND(H209*I209,2)</f>
        <v>0</v>
      </c>
      <c r="K209" s="29" t="n">
        <f aca="false">ROUND(J209*'Основания и цены'!$B$4,2)</f>
        <v>0</v>
      </c>
      <c r="L209" s="29" t="n">
        <v>0</v>
      </c>
      <c r="M209" s="29" t="n">
        <f aca="false">ROUND(H209*L209,2)</f>
        <v>0</v>
      </c>
      <c r="N209" s="29" t="n">
        <v>0</v>
      </c>
      <c r="O209" s="29" t="n">
        <f aca="false">ROUND(H209*N209,2)</f>
        <v>0</v>
      </c>
      <c r="P209" s="29" t="n">
        <v>24000</v>
      </c>
      <c r="Q209" s="29" t="n">
        <f aca="false">ROUND(H209*P209,2)</f>
        <v>24000</v>
      </c>
      <c r="R209" s="29" t="n">
        <f aca="false">ROUND(J209+K209+M209+O209+Q209,2)</f>
        <v>24000</v>
      </c>
      <c r="S209" s="26" t="s">
        <v>59</v>
      </c>
      <c r="T209" s="29" t="n">
        <f aca="false">IF(S209="УЧТЕНО",R209,0)</f>
        <v>24000</v>
      </c>
      <c r="U209" s="27" t="s">
        <v>561</v>
      </c>
    </row>
    <row r="210" customFormat="false" ht="15" hidden="false" customHeight="true" outlineLevel="0" collapsed="false">
      <c r="A210" s="30"/>
      <c r="B210" s="30"/>
      <c r="C210" s="30"/>
      <c r="D210" s="30" t="s">
        <v>71</v>
      </c>
      <c r="E210" s="30"/>
      <c r="F210" s="30"/>
      <c r="G210" s="30"/>
      <c r="H210" s="30"/>
      <c r="I210" s="30"/>
      <c r="J210" s="31" t="n">
        <f aca="false">ROUND(SUMIF($S$200:$S$209,"УЧТЕНО",$J$200:$J$209),2)</f>
        <v>210648.16</v>
      </c>
      <c r="K210" s="31" t="n">
        <f aca="false">ROUND(SUMIF($S$200:$S$209,"УЧТЕНО",$K$200:$K$209),2)</f>
        <v>63194.45</v>
      </c>
      <c r="L210" s="30"/>
      <c r="M210" s="31" t="n">
        <f aca="false">ROUND(SUMIF($S$200:$S$209,"УЧТЕНО",$M$200:$M$209),2)</f>
        <v>862236.68</v>
      </c>
      <c r="N210" s="30"/>
      <c r="O210" s="31" t="n">
        <f aca="false">ROUND(SUMIF($S$200:$S$209,"УЧТЕНО",$O$200:$O$209),2)</f>
        <v>0</v>
      </c>
      <c r="P210" s="30"/>
      <c r="Q210" s="31" t="n">
        <f aca="false">ROUND(SUMIF($S$200:$S$209,"УЧТЕНО",$Q$200:$Q$209),2)</f>
        <v>24000</v>
      </c>
      <c r="R210" s="31" t="n">
        <f aca="false">ROUND(J210+K210+M210+O210+Q210,2)</f>
        <v>1160079.29</v>
      </c>
      <c r="S210" s="30" t="s">
        <v>72</v>
      </c>
      <c r="T210" s="31" t="n">
        <f aca="false">R210</f>
        <v>1160079.29</v>
      </c>
      <c r="U210" s="30"/>
    </row>
    <row r="211" customFormat="false" ht="42" hidden="false" customHeight="true" outlineLevel="0" collapsed="false">
      <c r="A211" s="24" t="s">
        <v>562</v>
      </c>
      <c r="B211" s="24"/>
      <c r="C211" s="24"/>
      <c r="D211" s="24"/>
      <c r="E211" s="24"/>
      <c r="F211" s="24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</row>
    <row r="212" customFormat="false" ht="30.75" hidden="false" customHeight="true" outlineLevel="0" collapsed="false">
      <c r="A212" s="26" t="n">
        <v>3</v>
      </c>
      <c r="B212" s="26" t="s">
        <v>74</v>
      </c>
      <c r="C212" s="26" t="s">
        <v>75</v>
      </c>
      <c r="D212" s="27" t="s">
        <v>563</v>
      </c>
      <c r="E212" s="28" t="n">
        <v>437.98</v>
      </c>
      <c r="F212" s="26" t="s">
        <v>80</v>
      </c>
      <c r="G212" s="26" t="s">
        <v>542</v>
      </c>
      <c r="H212" s="28" t="n">
        <v>438</v>
      </c>
      <c r="I212" s="29" t="n">
        <v>4153.85</v>
      </c>
      <c r="J212" s="29" t="n">
        <f aca="false">ROUND(H212*I212,2)</f>
        <v>1819386.3</v>
      </c>
      <c r="K212" s="29" t="n">
        <f aca="false">ROUND(J212*'Основания и цены'!$B$4,2)</f>
        <v>545815.89</v>
      </c>
      <c r="L212" s="29" t="n">
        <v>0</v>
      </c>
      <c r="M212" s="29" t="n">
        <f aca="false">ROUND(H212*L212,2)</f>
        <v>0</v>
      </c>
      <c r="N212" s="29" t="n">
        <v>0</v>
      </c>
      <c r="O212" s="29" t="n">
        <f aca="false">ROUND(H212*N212,2)</f>
        <v>0</v>
      </c>
      <c r="P212" s="29" t="n">
        <v>0</v>
      </c>
      <c r="Q212" s="29" t="n">
        <f aca="false">ROUND(H212*P212,2)</f>
        <v>0</v>
      </c>
      <c r="R212" s="29" t="n">
        <f aca="false">ROUND(J212+K212+M212+O212+Q212,2)</f>
        <v>2365202.19</v>
      </c>
      <c r="S212" s="26" t="s">
        <v>59</v>
      </c>
      <c r="T212" s="29" t="n">
        <f aca="false">IF(S212="УЧТЕНО",R212,0)</f>
        <v>2365202.19</v>
      </c>
      <c r="U212" s="27" t="s">
        <v>564</v>
      </c>
    </row>
    <row r="213" customFormat="false" ht="21.75" hidden="false" customHeight="true" outlineLevel="0" collapsed="false">
      <c r="A213" s="26" t="n">
        <v>3</v>
      </c>
      <c r="B213" s="26" t="s">
        <v>74</v>
      </c>
      <c r="C213" s="26" t="s">
        <v>78</v>
      </c>
      <c r="D213" s="27" t="s">
        <v>565</v>
      </c>
      <c r="E213" s="28" t="n">
        <v>437.98</v>
      </c>
      <c r="F213" s="26" t="s">
        <v>80</v>
      </c>
      <c r="G213" s="26" t="s">
        <v>80</v>
      </c>
      <c r="H213" s="28" t="n">
        <v>421</v>
      </c>
      <c r="I213" s="29" t="n">
        <v>129.23</v>
      </c>
      <c r="J213" s="29" t="n">
        <f aca="false">ROUND(H213*I213,2)</f>
        <v>54405.83</v>
      </c>
      <c r="K213" s="29" t="n">
        <f aca="false">ROUND(J213*'Основания и цены'!$B$4,2)</f>
        <v>16321.75</v>
      </c>
      <c r="L213" s="29" t="n">
        <v>0</v>
      </c>
      <c r="M213" s="29" t="n">
        <f aca="false">ROUND(H213*L213,2)</f>
        <v>0</v>
      </c>
      <c r="N213" s="29" t="n">
        <v>0</v>
      </c>
      <c r="O213" s="29" t="n">
        <f aca="false">ROUND(H213*N213,2)</f>
        <v>0</v>
      </c>
      <c r="P213" s="29" t="n">
        <v>0</v>
      </c>
      <c r="Q213" s="29" t="n">
        <f aca="false">ROUND(H213*P213,2)</f>
        <v>0</v>
      </c>
      <c r="R213" s="29" t="n">
        <f aca="false">ROUND(J213+K213+M213+O213+Q213,2)</f>
        <v>70727.58</v>
      </c>
      <c r="S213" s="26" t="s">
        <v>59</v>
      </c>
      <c r="T213" s="29" t="n">
        <f aca="false">IF(S213="УЧТЕНО",R213,0)</f>
        <v>70727.58</v>
      </c>
      <c r="U213" s="27" t="s">
        <v>566</v>
      </c>
    </row>
    <row r="214" customFormat="false" ht="30.75" hidden="false" customHeight="true" outlineLevel="0" collapsed="false">
      <c r="A214" s="26" t="n">
        <v>3</v>
      </c>
      <c r="B214" s="26" t="s">
        <v>74</v>
      </c>
      <c r="C214" s="26" t="s">
        <v>82</v>
      </c>
      <c r="D214" s="27" t="s">
        <v>567</v>
      </c>
      <c r="E214" s="28" t="s">
        <v>57</v>
      </c>
      <c r="F214" s="26" t="s">
        <v>57</v>
      </c>
      <c r="G214" s="26" t="s">
        <v>87</v>
      </c>
      <c r="H214" s="28" t="n">
        <v>13.14</v>
      </c>
      <c r="I214" s="29" t="n">
        <v>0</v>
      </c>
      <c r="J214" s="29" t="n">
        <f aca="false">ROUND(H214*I214,2)</f>
        <v>0</v>
      </c>
      <c r="K214" s="29" t="n">
        <f aca="false">ROUND(J214*'Основания и цены'!$B$4,2)</f>
        <v>0</v>
      </c>
      <c r="L214" s="29" t="n">
        <f aca="false">Материалы!G97</f>
        <v>24600</v>
      </c>
      <c r="M214" s="29" t="n">
        <f aca="false">ROUND(H214*L214,2)</f>
        <v>323244</v>
      </c>
      <c r="N214" s="29" t="n">
        <v>0</v>
      </c>
      <c r="O214" s="29" t="n">
        <f aca="false">ROUND(H214*N214,2)</f>
        <v>0</v>
      </c>
      <c r="P214" s="29" t="n">
        <v>0</v>
      </c>
      <c r="Q214" s="29" t="n">
        <f aca="false">ROUND(H214*P214,2)</f>
        <v>0</v>
      </c>
      <c r="R214" s="29" t="n">
        <f aca="false">ROUND(J214+K214+M214+O214+Q214,2)</f>
        <v>323244</v>
      </c>
      <c r="S214" s="26" t="s">
        <v>59</v>
      </c>
      <c r="T214" s="29" t="n">
        <f aca="false">IF(S214="УЧТЕНО",R214,0)</f>
        <v>323244</v>
      </c>
      <c r="U214" s="27" t="s">
        <v>568</v>
      </c>
    </row>
    <row r="215" customFormat="false" ht="30.75" hidden="false" customHeight="true" outlineLevel="0" collapsed="false">
      <c r="A215" s="26" t="n">
        <v>3</v>
      </c>
      <c r="B215" s="26" t="s">
        <v>74</v>
      </c>
      <c r="C215" s="26" t="s">
        <v>85</v>
      </c>
      <c r="D215" s="27" t="s">
        <v>569</v>
      </c>
      <c r="E215" s="28" t="s">
        <v>57</v>
      </c>
      <c r="F215" s="26" t="s">
        <v>57</v>
      </c>
      <c r="G215" s="26" t="s">
        <v>87</v>
      </c>
      <c r="H215" s="28" t="n">
        <v>1.5</v>
      </c>
      <c r="I215" s="29" t="n">
        <v>0</v>
      </c>
      <c r="J215" s="29" t="n">
        <f aca="false">ROUND(H215*I215,2)</f>
        <v>0</v>
      </c>
      <c r="K215" s="29" t="n">
        <f aca="false">ROUND(J215*'Основания и цены'!$B$4,2)</f>
        <v>0</v>
      </c>
      <c r="L215" s="29" t="n">
        <f aca="false">Материалы!G98</f>
        <v>21300</v>
      </c>
      <c r="M215" s="29" t="n">
        <f aca="false">ROUND(H215*L215,2)</f>
        <v>31950</v>
      </c>
      <c r="N215" s="29" t="n">
        <v>0</v>
      </c>
      <c r="O215" s="29" t="n">
        <f aca="false">ROUND(H215*N215,2)</f>
        <v>0</v>
      </c>
      <c r="P215" s="29" t="n">
        <v>0</v>
      </c>
      <c r="Q215" s="29" t="n">
        <f aca="false">ROUND(H215*P215,2)</f>
        <v>0</v>
      </c>
      <c r="R215" s="29" t="n">
        <f aca="false">ROUND(J215+K215+M215+O215+Q215,2)</f>
        <v>31950</v>
      </c>
      <c r="S215" s="26" t="s">
        <v>59</v>
      </c>
      <c r="T215" s="29" t="n">
        <f aca="false">IF(S215="УЧТЕНО",R215,0)</f>
        <v>31950</v>
      </c>
      <c r="U215" s="27" t="s">
        <v>570</v>
      </c>
    </row>
    <row r="216" customFormat="false" ht="21.75" hidden="false" customHeight="true" outlineLevel="0" collapsed="false">
      <c r="A216" s="26" t="n">
        <v>3</v>
      </c>
      <c r="B216" s="26" t="s">
        <v>74</v>
      </c>
      <c r="C216" s="26" t="s">
        <v>89</v>
      </c>
      <c r="D216" s="27" t="s">
        <v>571</v>
      </c>
      <c r="E216" s="28" t="s">
        <v>57</v>
      </c>
      <c r="F216" s="26" t="s">
        <v>57</v>
      </c>
      <c r="G216" s="26" t="s">
        <v>176</v>
      </c>
      <c r="H216" s="28" t="n">
        <v>10</v>
      </c>
      <c r="I216" s="29" t="n">
        <v>0</v>
      </c>
      <c r="J216" s="29" t="n">
        <f aca="false">ROUND(H216*I216,2)</f>
        <v>0</v>
      </c>
      <c r="K216" s="29" t="n">
        <f aca="false">ROUND(J216*'Основания и цены'!$B$4,2)</f>
        <v>0</v>
      </c>
      <c r="L216" s="29" t="n">
        <f aca="false">Материалы!G99</f>
        <v>3114</v>
      </c>
      <c r="M216" s="29" t="n">
        <f aca="false">ROUND(H216*L216,2)</f>
        <v>31140</v>
      </c>
      <c r="N216" s="29" t="n">
        <v>0</v>
      </c>
      <c r="O216" s="29" t="n">
        <f aca="false">ROUND(H216*N216,2)</f>
        <v>0</v>
      </c>
      <c r="P216" s="29" t="n">
        <v>0</v>
      </c>
      <c r="Q216" s="29" t="n">
        <f aca="false">ROUND(H216*P216,2)</f>
        <v>0</v>
      </c>
      <c r="R216" s="29" t="n">
        <f aca="false">ROUND(J216+K216+M216+O216+Q216,2)</f>
        <v>31140</v>
      </c>
      <c r="S216" s="26" t="s">
        <v>59</v>
      </c>
      <c r="T216" s="29" t="n">
        <f aca="false">IF(S216="УЧТЕНО",R216,0)</f>
        <v>31140</v>
      </c>
      <c r="U216" s="27" t="s">
        <v>572</v>
      </c>
    </row>
    <row r="217" customFormat="false" ht="21.75" hidden="false" customHeight="true" outlineLevel="0" collapsed="false">
      <c r="A217" s="26" t="n">
        <v>3</v>
      </c>
      <c r="B217" s="26" t="s">
        <v>74</v>
      </c>
      <c r="C217" s="26" t="s">
        <v>92</v>
      </c>
      <c r="D217" s="27" t="s">
        <v>573</v>
      </c>
      <c r="E217" s="28" t="s">
        <v>57</v>
      </c>
      <c r="F217" s="26" t="s">
        <v>57</v>
      </c>
      <c r="G217" s="26" t="s">
        <v>176</v>
      </c>
      <c r="H217" s="28" t="n">
        <v>8</v>
      </c>
      <c r="I217" s="29" t="n">
        <v>0</v>
      </c>
      <c r="J217" s="29" t="n">
        <f aca="false">ROUND(H217*I217,2)</f>
        <v>0</v>
      </c>
      <c r="K217" s="29" t="n">
        <f aca="false">ROUND(J217*'Основания и цены'!$B$4,2)</f>
        <v>0</v>
      </c>
      <c r="L217" s="29" t="n">
        <f aca="false">Материалы!G100</f>
        <v>3850.8</v>
      </c>
      <c r="M217" s="29" t="n">
        <f aca="false">ROUND(H217*L217,2)</f>
        <v>30806.4</v>
      </c>
      <c r="N217" s="29" t="n">
        <v>0</v>
      </c>
      <c r="O217" s="29" t="n">
        <f aca="false">ROUND(H217*N217,2)</f>
        <v>0</v>
      </c>
      <c r="P217" s="29" t="n">
        <v>0</v>
      </c>
      <c r="Q217" s="29" t="n">
        <f aca="false">ROUND(H217*P217,2)</f>
        <v>0</v>
      </c>
      <c r="R217" s="29" t="n">
        <f aca="false">ROUND(J217+K217+M217+O217+Q217,2)</f>
        <v>30806.4</v>
      </c>
      <c r="S217" s="26" t="s">
        <v>59</v>
      </c>
      <c r="T217" s="29" t="n">
        <f aca="false">IF(S217="УЧТЕНО",R217,0)</f>
        <v>30806.4</v>
      </c>
      <c r="U217" s="27" t="s">
        <v>574</v>
      </c>
    </row>
    <row r="218" customFormat="false" ht="30.75" hidden="false" customHeight="true" outlineLevel="0" collapsed="false">
      <c r="A218" s="26" t="n">
        <v>3</v>
      </c>
      <c r="B218" s="26" t="s">
        <v>74</v>
      </c>
      <c r="C218" s="26" t="s">
        <v>95</v>
      </c>
      <c r="D218" s="27" t="s">
        <v>575</v>
      </c>
      <c r="E218" s="28" t="s">
        <v>57</v>
      </c>
      <c r="F218" s="26" t="s">
        <v>57</v>
      </c>
      <c r="G218" s="26" t="s">
        <v>176</v>
      </c>
      <c r="H218" s="28" t="n">
        <v>465</v>
      </c>
      <c r="I218" s="29" t="n">
        <v>0</v>
      </c>
      <c r="J218" s="29" t="n">
        <f aca="false">ROUND(H218*I218,2)</f>
        <v>0</v>
      </c>
      <c r="K218" s="29" t="n">
        <f aca="false">ROUND(J218*'Основания и цены'!$B$4,2)</f>
        <v>0</v>
      </c>
      <c r="L218" s="29" t="n">
        <f aca="false">Материалы!G101</f>
        <v>3422.47</v>
      </c>
      <c r="M218" s="29" t="n">
        <f aca="false">ROUND(H218*L218,2)</f>
        <v>1591448.55</v>
      </c>
      <c r="N218" s="29" t="n">
        <v>0</v>
      </c>
      <c r="O218" s="29" t="n">
        <f aca="false">ROUND(H218*N218,2)</f>
        <v>0</v>
      </c>
      <c r="P218" s="29" t="n">
        <v>0</v>
      </c>
      <c r="Q218" s="29" t="n">
        <f aca="false">ROUND(H218*P218,2)</f>
        <v>0</v>
      </c>
      <c r="R218" s="29" t="n">
        <f aca="false">ROUND(J218+K218+M218+O218+Q218,2)</f>
        <v>1591448.55</v>
      </c>
      <c r="S218" s="26" t="s">
        <v>59</v>
      </c>
      <c r="T218" s="29" t="n">
        <f aca="false">IF(S218="УЧТЕНО",R218,0)</f>
        <v>1591448.55</v>
      </c>
      <c r="U218" s="27" t="s">
        <v>576</v>
      </c>
    </row>
    <row r="219" customFormat="false" ht="30.75" hidden="false" customHeight="true" outlineLevel="0" collapsed="false">
      <c r="A219" s="26" t="n">
        <v>3</v>
      </c>
      <c r="B219" s="26" t="s">
        <v>74</v>
      </c>
      <c r="C219" s="26" t="s">
        <v>98</v>
      </c>
      <c r="D219" s="27" t="s">
        <v>577</v>
      </c>
      <c r="E219" s="28" t="s">
        <v>57</v>
      </c>
      <c r="F219" s="26" t="s">
        <v>57</v>
      </c>
      <c r="G219" s="26" t="s">
        <v>87</v>
      </c>
      <c r="H219" s="28" t="n">
        <v>2.85</v>
      </c>
      <c r="I219" s="29" t="n">
        <v>0</v>
      </c>
      <c r="J219" s="29" t="n">
        <f aca="false">ROUND(H219*I219,2)</f>
        <v>0</v>
      </c>
      <c r="K219" s="29" t="n">
        <f aca="false">ROUND(J219*'Основания и цены'!$B$4,2)</f>
        <v>0</v>
      </c>
      <c r="L219" s="29" t="n">
        <f aca="false">Материалы!G102</f>
        <v>24600</v>
      </c>
      <c r="M219" s="29" t="n">
        <f aca="false">ROUND(H219*L219,2)</f>
        <v>70110</v>
      </c>
      <c r="N219" s="29" t="n">
        <v>0</v>
      </c>
      <c r="O219" s="29" t="n">
        <f aca="false">ROUND(H219*N219,2)</f>
        <v>0</v>
      </c>
      <c r="P219" s="29" t="n">
        <v>0</v>
      </c>
      <c r="Q219" s="29" t="n">
        <f aca="false">ROUND(H219*P219,2)</f>
        <v>0</v>
      </c>
      <c r="R219" s="29" t="n">
        <f aca="false">ROUND(J219+K219+M219+O219+Q219,2)</f>
        <v>70110</v>
      </c>
      <c r="S219" s="26" t="s">
        <v>59</v>
      </c>
      <c r="T219" s="29" t="n">
        <f aca="false">IF(S219="УЧТЕНО",R219,0)</f>
        <v>70110</v>
      </c>
      <c r="U219" s="27" t="s">
        <v>578</v>
      </c>
    </row>
    <row r="220" customFormat="false" ht="21.75" hidden="false" customHeight="true" outlineLevel="0" collapsed="false">
      <c r="A220" s="26" t="n">
        <v>3</v>
      </c>
      <c r="B220" s="26" t="s">
        <v>74</v>
      </c>
      <c r="C220" s="26" t="s">
        <v>101</v>
      </c>
      <c r="D220" s="27" t="s">
        <v>579</v>
      </c>
      <c r="E220" s="28" t="s">
        <v>57</v>
      </c>
      <c r="F220" s="26" t="s">
        <v>57</v>
      </c>
      <c r="G220" s="26" t="s">
        <v>176</v>
      </c>
      <c r="H220" s="28" t="n">
        <v>7</v>
      </c>
      <c r="I220" s="29" t="n">
        <v>0</v>
      </c>
      <c r="J220" s="29" t="n">
        <f aca="false">ROUND(H220*I220,2)</f>
        <v>0</v>
      </c>
      <c r="K220" s="29" t="n">
        <f aca="false">ROUND(J220*'Основания и цены'!$B$4,2)</f>
        <v>0</v>
      </c>
      <c r="L220" s="29" t="n">
        <f aca="false">Материалы!G103</f>
        <v>7382.86</v>
      </c>
      <c r="M220" s="29" t="n">
        <f aca="false">ROUND(H220*L220,2)</f>
        <v>51680.02</v>
      </c>
      <c r="N220" s="29" t="n">
        <v>0</v>
      </c>
      <c r="O220" s="29" t="n">
        <f aca="false">ROUND(H220*N220,2)</f>
        <v>0</v>
      </c>
      <c r="P220" s="29" t="n">
        <v>0</v>
      </c>
      <c r="Q220" s="29" t="n">
        <f aca="false">ROUND(H220*P220,2)</f>
        <v>0</v>
      </c>
      <c r="R220" s="29" t="n">
        <f aca="false">ROUND(J220+K220+M220+O220+Q220,2)</f>
        <v>51680.02</v>
      </c>
      <c r="S220" s="26" t="s">
        <v>59</v>
      </c>
      <c r="T220" s="29" t="n">
        <f aca="false">IF(S220="УЧТЕНО",R220,0)</f>
        <v>51680.02</v>
      </c>
      <c r="U220" s="27" t="s">
        <v>580</v>
      </c>
    </row>
    <row r="221" customFormat="false" ht="30.75" hidden="false" customHeight="true" outlineLevel="0" collapsed="false">
      <c r="A221" s="26" t="n">
        <v>3</v>
      </c>
      <c r="B221" s="26" t="s">
        <v>74</v>
      </c>
      <c r="C221" s="26" t="s">
        <v>104</v>
      </c>
      <c r="D221" s="27" t="s">
        <v>581</v>
      </c>
      <c r="E221" s="28" t="s">
        <v>57</v>
      </c>
      <c r="F221" s="26" t="s">
        <v>57</v>
      </c>
      <c r="G221" s="26" t="s">
        <v>87</v>
      </c>
      <c r="H221" s="28" t="n">
        <v>3.83</v>
      </c>
      <c r="I221" s="29" t="n">
        <v>0</v>
      </c>
      <c r="J221" s="29" t="n">
        <f aca="false">ROUND(H221*I221,2)</f>
        <v>0</v>
      </c>
      <c r="K221" s="29" t="n">
        <f aca="false">ROUND(J221*'Основания и цены'!$B$4,2)</f>
        <v>0</v>
      </c>
      <c r="L221" s="29" t="n">
        <f aca="false">Материалы!G104</f>
        <v>27440</v>
      </c>
      <c r="M221" s="29" t="n">
        <f aca="false">ROUND(H221*L221,2)</f>
        <v>105095.2</v>
      </c>
      <c r="N221" s="29" t="n">
        <v>0</v>
      </c>
      <c r="O221" s="29" t="n">
        <f aca="false">ROUND(H221*N221,2)</f>
        <v>0</v>
      </c>
      <c r="P221" s="29" t="n">
        <v>0</v>
      </c>
      <c r="Q221" s="29" t="n">
        <f aca="false">ROUND(H221*P221,2)</f>
        <v>0</v>
      </c>
      <c r="R221" s="29" t="n">
        <f aca="false">ROUND(J221+K221+M221+O221+Q221,2)</f>
        <v>105095.2</v>
      </c>
      <c r="S221" s="26" t="s">
        <v>59</v>
      </c>
      <c r="T221" s="29" t="n">
        <f aca="false">IF(S221="УЧТЕНО",R221,0)</f>
        <v>105095.2</v>
      </c>
      <c r="U221" s="27" t="s">
        <v>582</v>
      </c>
    </row>
    <row r="222" customFormat="false" ht="30.75" hidden="false" customHeight="true" outlineLevel="0" collapsed="false">
      <c r="A222" s="26" t="n">
        <v>3</v>
      </c>
      <c r="B222" s="26" t="s">
        <v>74</v>
      </c>
      <c r="C222" s="26" t="s">
        <v>107</v>
      </c>
      <c r="D222" s="27" t="s">
        <v>583</v>
      </c>
      <c r="E222" s="28" t="s">
        <v>57</v>
      </c>
      <c r="F222" s="26" t="s">
        <v>57</v>
      </c>
      <c r="G222" s="26" t="s">
        <v>87</v>
      </c>
      <c r="H222" s="28" t="n">
        <v>1.1</v>
      </c>
      <c r="I222" s="29" t="n">
        <v>0</v>
      </c>
      <c r="J222" s="29" t="n">
        <f aca="false">ROUND(H222*I222,2)</f>
        <v>0</v>
      </c>
      <c r="K222" s="29" t="n">
        <f aca="false">ROUND(J222*'Основания и цены'!$B$4,2)</f>
        <v>0</v>
      </c>
      <c r="L222" s="29" t="n">
        <f aca="false">Материалы!G105</f>
        <v>27440</v>
      </c>
      <c r="M222" s="29" t="n">
        <f aca="false">ROUND(H222*L222,2)</f>
        <v>30184</v>
      </c>
      <c r="N222" s="29" t="n">
        <v>0</v>
      </c>
      <c r="O222" s="29" t="n">
        <f aca="false">ROUND(H222*N222,2)</f>
        <v>0</v>
      </c>
      <c r="P222" s="29" t="n">
        <v>0</v>
      </c>
      <c r="Q222" s="29" t="n">
        <f aca="false">ROUND(H222*P222,2)</f>
        <v>0</v>
      </c>
      <c r="R222" s="29" t="n">
        <f aca="false">ROUND(J222+K222+M222+O222+Q222,2)</f>
        <v>30184</v>
      </c>
      <c r="S222" s="26" t="s">
        <v>59</v>
      </c>
      <c r="T222" s="29" t="n">
        <f aca="false">IF(S222="УЧТЕНО",R222,0)</f>
        <v>30184</v>
      </c>
      <c r="U222" s="27" t="s">
        <v>584</v>
      </c>
    </row>
    <row r="223" customFormat="false" ht="21.75" hidden="false" customHeight="true" outlineLevel="0" collapsed="false">
      <c r="A223" s="26" t="n">
        <v>3</v>
      </c>
      <c r="B223" s="26" t="s">
        <v>74</v>
      </c>
      <c r="C223" s="26" t="s">
        <v>110</v>
      </c>
      <c r="D223" s="27" t="s">
        <v>585</v>
      </c>
      <c r="E223" s="28" t="n">
        <v>5124</v>
      </c>
      <c r="F223" s="26" t="s">
        <v>180</v>
      </c>
      <c r="G223" s="26" t="s">
        <v>180</v>
      </c>
      <c r="H223" s="28" t="n">
        <v>5015</v>
      </c>
      <c r="I223" s="29" t="n">
        <v>0</v>
      </c>
      <c r="J223" s="29" t="n">
        <f aca="false">ROUND(H223*I223,2)</f>
        <v>0</v>
      </c>
      <c r="K223" s="29" t="n">
        <f aca="false">ROUND(J223*'Основания и цены'!$B$4,2)</f>
        <v>0</v>
      </c>
      <c r="L223" s="29" t="n">
        <f aca="false">Материалы!G106</f>
        <v>175.08</v>
      </c>
      <c r="M223" s="29" t="n">
        <f aca="false">ROUND(H223*L223,2)</f>
        <v>878026.2</v>
      </c>
      <c r="N223" s="29" t="n">
        <v>0</v>
      </c>
      <c r="O223" s="29" t="n">
        <f aca="false">ROUND(H223*N223,2)</f>
        <v>0</v>
      </c>
      <c r="P223" s="29" t="n">
        <v>0</v>
      </c>
      <c r="Q223" s="29" t="n">
        <f aca="false">ROUND(H223*P223,2)</f>
        <v>0</v>
      </c>
      <c r="R223" s="29" t="n">
        <f aca="false">ROUND(J223+K223+M223+O223+Q223,2)</f>
        <v>878026.2</v>
      </c>
      <c r="S223" s="26" t="s">
        <v>59</v>
      </c>
      <c r="T223" s="29" t="n">
        <f aca="false">IF(S223="УЧТЕНО",R223,0)</f>
        <v>878026.2</v>
      </c>
      <c r="U223" s="27" t="s">
        <v>586</v>
      </c>
    </row>
    <row r="224" customFormat="false" ht="21.75" hidden="false" customHeight="true" outlineLevel="0" collapsed="false">
      <c r="A224" s="26" t="n">
        <v>3</v>
      </c>
      <c r="B224" s="26" t="s">
        <v>74</v>
      </c>
      <c r="C224" s="26" t="s">
        <v>114</v>
      </c>
      <c r="D224" s="27" t="s">
        <v>587</v>
      </c>
      <c r="E224" s="28" t="n">
        <v>24</v>
      </c>
      <c r="F224" s="26" t="s">
        <v>180</v>
      </c>
      <c r="G224" s="26" t="s">
        <v>180</v>
      </c>
      <c r="H224" s="28" t="n">
        <v>26</v>
      </c>
      <c r="I224" s="29" t="n">
        <v>0</v>
      </c>
      <c r="J224" s="29" t="n">
        <f aca="false">ROUND(H224*I224,2)</f>
        <v>0</v>
      </c>
      <c r="K224" s="29" t="n">
        <f aca="false">ROUND(J224*'Основания и цены'!$B$4,2)</f>
        <v>0</v>
      </c>
      <c r="L224" s="29" t="n">
        <f aca="false">Материалы!G107</f>
        <v>1880.94</v>
      </c>
      <c r="M224" s="29" t="n">
        <f aca="false">ROUND(H224*L224,2)</f>
        <v>48904.44</v>
      </c>
      <c r="N224" s="29" t="n">
        <v>0</v>
      </c>
      <c r="O224" s="29" t="n">
        <f aca="false">ROUND(H224*N224,2)</f>
        <v>0</v>
      </c>
      <c r="P224" s="29" t="n">
        <v>0</v>
      </c>
      <c r="Q224" s="29" t="n">
        <f aca="false">ROUND(H224*P224,2)</f>
        <v>0</v>
      </c>
      <c r="R224" s="29" t="n">
        <f aca="false">ROUND(J224+K224+M224+O224+Q224,2)</f>
        <v>48904.44</v>
      </c>
      <c r="S224" s="26" t="s">
        <v>59</v>
      </c>
      <c r="T224" s="29" t="n">
        <f aca="false">IF(S224="УЧТЕНО",R224,0)</f>
        <v>48904.44</v>
      </c>
      <c r="U224" s="27" t="s">
        <v>588</v>
      </c>
    </row>
    <row r="225" customFormat="false" ht="21.75" hidden="false" customHeight="true" outlineLevel="0" collapsed="false">
      <c r="A225" s="26" t="n">
        <v>3</v>
      </c>
      <c r="B225" s="26" t="s">
        <v>74</v>
      </c>
      <c r="C225" s="26" t="s">
        <v>118</v>
      </c>
      <c r="D225" s="27" t="s">
        <v>589</v>
      </c>
      <c r="E225" s="28" t="n">
        <v>35</v>
      </c>
      <c r="F225" s="26" t="s">
        <v>180</v>
      </c>
      <c r="G225" s="26" t="s">
        <v>180</v>
      </c>
      <c r="H225" s="28" t="n">
        <v>38</v>
      </c>
      <c r="I225" s="29" t="n">
        <v>0</v>
      </c>
      <c r="J225" s="29" t="n">
        <f aca="false">ROUND(H225*I225,2)</f>
        <v>0</v>
      </c>
      <c r="K225" s="29" t="n">
        <f aca="false">ROUND(J225*'Основания и цены'!$B$4,2)</f>
        <v>0</v>
      </c>
      <c r="L225" s="29" t="n">
        <f aca="false">Материалы!G108</f>
        <v>200.4</v>
      </c>
      <c r="M225" s="29" t="n">
        <f aca="false">ROUND(H225*L225,2)</f>
        <v>7615.2</v>
      </c>
      <c r="N225" s="29" t="n">
        <v>0</v>
      </c>
      <c r="O225" s="29" t="n">
        <f aca="false">ROUND(H225*N225,2)</f>
        <v>0</v>
      </c>
      <c r="P225" s="29" t="n">
        <v>0</v>
      </c>
      <c r="Q225" s="29" t="n">
        <f aca="false">ROUND(H225*P225,2)</f>
        <v>0</v>
      </c>
      <c r="R225" s="29" t="n">
        <f aca="false">ROUND(J225+K225+M225+O225+Q225,2)</f>
        <v>7615.2</v>
      </c>
      <c r="S225" s="26" t="s">
        <v>59</v>
      </c>
      <c r="T225" s="29" t="n">
        <f aca="false">IF(S225="УЧТЕНО",R225,0)</f>
        <v>7615.2</v>
      </c>
      <c r="U225" s="27" t="s">
        <v>590</v>
      </c>
    </row>
    <row r="226" customFormat="false" ht="21.75" hidden="false" customHeight="true" outlineLevel="0" collapsed="false">
      <c r="A226" s="26" t="n">
        <v>3</v>
      </c>
      <c r="B226" s="26" t="s">
        <v>74</v>
      </c>
      <c r="C226" s="26" t="s">
        <v>121</v>
      </c>
      <c r="D226" s="27" t="s">
        <v>591</v>
      </c>
      <c r="E226" s="28" t="n">
        <v>146</v>
      </c>
      <c r="F226" s="26" t="s">
        <v>180</v>
      </c>
      <c r="G226" s="26" t="s">
        <v>180</v>
      </c>
      <c r="H226" s="28" t="n">
        <v>161</v>
      </c>
      <c r="I226" s="29" t="n">
        <v>0</v>
      </c>
      <c r="J226" s="29" t="n">
        <f aca="false">ROUND(H226*I226,2)</f>
        <v>0</v>
      </c>
      <c r="K226" s="29" t="n">
        <f aca="false">ROUND(J226*'Основания и цены'!$B$4,2)</f>
        <v>0</v>
      </c>
      <c r="L226" s="29" t="n">
        <f aca="false">Материалы!G109</f>
        <v>4.8</v>
      </c>
      <c r="M226" s="29" t="n">
        <f aca="false">ROUND(H226*L226,2)</f>
        <v>772.8</v>
      </c>
      <c r="N226" s="29" t="n">
        <v>0</v>
      </c>
      <c r="O226" s="29" t="n">
        <f aca="false">ROUND(H226*N226,2)</f>
        <v>0</v>
      </c>
      <c r="P226" s="29" t="n">
        <v>0</v>
      </c>
      <c r="Q226" s="29" t="n">
        <f aca="false">ROUND(H226*P226,2)</f>
        <v>0</v>
      </c>
      <c r="R226" s="29" t="n">
        <f aca="false">ROUND(J226+K226+M226+O226+Q226,2)</f>
        <v>772.8</v>
      </c>
      <c r="S226" s="26" t="s">
        <v>59</v>
      </c>
      <c r="T226" s="29" t="n">
        <f aca="false">IF(S226="УЧТЕНО",R226,0)</f>
        <v>772.8</v>
      </c>
      <c r="U226" s="27" t="s">
        <v>592</v>
      </c>
    </row>
    <row r="227" customFormat="false" ht="21.75" hidden="false" customHeight="true" outlineLevel="0" collapsed="false">
      <c r="A227" s="26" t="n">
        <v>3</v>
      </c>
      <c r="B227" s="26" t="s">
        <v>74</v>
      </c>
      <c r="C227" s="26" t="s">
        <v>124</v>
      </c>
      <c r="D227" s="27" t="s">
        <v>593</v>
      </c>
      <c r="E227" s="28" t="n">
        <v>156</v>
      </c>
      <c r="F227" s="26" t="s">
        <v>180</v>
      </c>
      <c r="G227" s="26" t="s">
        <v>180</v>
      </c>
      <c r="H227" s="28" t="n">
        <v>164</v>
      </c>
      <c r="I227" s="29" t="n">
        <v>0</v>
      </c>
      <c r="J227" s="29" t="n">
        <f aca="false">ROUND(H227*I227,2)</f>
        <v>0</v>
      </c>
      <c r="K227" s="29" t="n">
        <f aca="false">ROUND(J227*'Основания и цены'!$B$4,2)</f>
        <v>0</v>
      </c>
      <c r="L227" s="29" t="n">
        <f aca="false">Материалы!G110</f>
        <v>586.8</v>
      </c>
      <c r="M227" s="29" t="n">
        <f aca="false">ROUND(H227*L227,2)</f>
        <v>96235.2</v>
      </c>
      <c r="N227" s="29" t="n">
        <v>0</v>
      </c>
      <c r="O227" s="29" t="n">
        <f aca="false">ROUND(H227*N227,2)</f>
        <v>0</v>
      </c>
      <c r="P227" s="29" t="n">
        <v>0</v>
      </c>
      <c r="Q227" s="29" t="n">
        <f aca="false">ROUND(H227*P227,2)</f>
        <v>0</v>
      </c>
      <c r="R227" s="29" t="n">
        <f aca="false">ROUND(J227+K227+M227+O227+Q227,2)</f>
        <v>96235.2</v>
      </c>
      <c r="S227" s="26" t="s">
        <v>59</v>
      </c>
      <c r="T227" s="29" t="n">
        <f aca="false">IF(S227="УЧТЕНО",R227,0)</f>
        <v>96235.2</v>
      </c>
      <c r="U227" s="27" t="s">
        <v>594</v>
      </c>
    </row>
    <row r="228" customFormat="false" ht="21.75" hidden="false" customHeight="true" outlineLevel="0" collapsed="false">
      <c r="A228" s="26" t="n">
        <v>3</v>
      </c>
      <c r="B228" s="26" t="s">
        <v>74</v>
      </c>
      <c r="C228" s="26" t="s">
        <v>127</v>
      </c>
      <c r="D228" s="27" t="s">
        <v>595</v>
      </c>
      <c r="E228" s="28" t="n">
        <v>50</v>
      </c>
      <c r="F228" s="26" t="s">
        <v>180</v>
      </c>
      <c r="G228" s="26" t="s">
        <v>180</v>
      </c>
      <c r="H228" s="28" t="n">
        <v>54</v>
      </c>
      <c r="I228" s="29" t="n">
        <v>0</v>
      </c>
      <c r="J228" s="29" t="n">
        <f aca="false">ROUND(H228*I228,2)</f>
        <v>0</v>
      </c>
      <c r="K228" s="29" t="n">
        <f aca="false">ROUND(J228*'Основания и цены'!$B$4,2)</f>
        <v>0</v>
      </c>
      <c r="L228" s="29" t="n">
        <f aca="false">Материалы!G111</f>
        <v>1458</v>
      </c>
      <c r="M228" s="29" t="n">
        <f aca="false">ROUND(H228*L228,2)</f>
        <v>78732</v>
      </c>
      <c r="N228" s="29" t="n">
        <v>0</v>
      </c>
      <c r="O228" s="29" t="n">
        <f aca="false">ROUND(H228*N228,2)</f>
        <v>0</v>
      </c>
      <c r="P228" s="29" t="n">
        <v>0</v>
      </c>
      <c r="Q228" s="29" t="n">
        <f aca="false">ROUND(H228*P228,2)</f>
        <v>0</v>
      </c>
      <c r="R228" s="29" t="n">
        <f aca="false">ROUND(J228+K228+M228+O228+Q228,2)</f>
        <v>78732</v>
      </c>
      <c r="S228" s="26" t="s">
        <v>59</v>
      </c>
      <c r="T228" s="29" t="n">
        <f aca="false">IF(S228="УЧТЕНО",R228,0)</f>
        <v>78732</v>
      </c>
      <c r="U228" s="27" t="s">
        <v>596</v>
      </c>
    </row>
    <row r="229" customFormat="false" ht="21.75" hidden="false" customHeight="true" outlineLevel="0" collapsed="false">
      <c r="A229" s="26" t="n">
        <v>3</v>
      </c>
      <c r="B229" s="26" t="s">
        <v>74</v>
      </c>
      <c r="C229" s="26" t="s">
        <v>130</v>
      </c>
      <c r="D229" s="27" t="s">
        <v>597</v>
      </c>
      <c r="E229" s="28" t="n">
        <v>27</v>
      </c>
      <c r="F229" s="26" t="s">
        <v>180</v>
      </c>
      <c r="G229" s="26" t="s">
        <v>180</v>
      </c>
      <c r="H229" s="28" t="n">
        <v>30</v>
      </c>
      <c r="I229" s="29" t="n">
        <v>0</v>
      </c>
      <c r="J229" s="29" t="n">
        <f aca="false">ROUND(H229*I229,2)</f>
        <v>0</v>
      </c>
      <c r="K229" s="29" t="n">
        <f aca="false">ROUND(J229*'Основания и цены'!$B$4,2)</f>
        <v>0</v>
      </c>
      <c r="L229" s="29" t="n">
        <f aca="false">Материалы!G112</f>
        <v>1474.8</v>
      </c>
      <c r="M229" s="29" t="n">
        <f aca="false">ROUND(H229*L229,2)</f>
        <v>44244</v>
      </c>
      <c r="N229" s="29" t="n">
        <v>0</v>
      </c>
      <c r="O229" s="29" t="n">
        <f aca="false">ROUND(H229*N229,2)</f>
        <v>0</v>
      </c>
      <c r="P229" s="29" t="n">
        <v>0</v>
      </c>
      <c r="Q229" s="29" t="n">
        <f aca="false">ROUND(H229*P229,2)</f>
        <v>0</v>
      </c>
      <c r="R229" s="29" t="n">
        <f aca="false">ROUND(J229+K229+M229+O229+Q229,2)</f>
        <v>44244</v>
      </c>
      <c r="S229" s="26" t="s">
        <v>59</v>
      </c>
      <c r="T229" s="29" t="n">
        <f aca="false">IF(S229="УЧТЕНО",R229,0)</f>
        <v>44244</v>
      </c>
      <c r="U229" s="27" t="s">
        <v>598</v>
      </c>
    </row>
    <row r="230" customFormat="false" ht="21.75" hidden="false" customHeight="true" outlineLevel="0" collapsed="false">
      <c r="A230" s="26" t="n">
        <v>3</v>
      </c>
      <c r="B230" s="26" t="s">
        <v>74</v>
      </c>
      <c r="C230" s="26" t="s">
        <v>133</v>
      </c>
      <c r="D230" s="27" t="s">
        <v>599</v>
      </c>
      <c r="E230" s="28" t="n">
        <v>11</v>
      </c>
      <c r="F230" s="26" t="s">
        <v>180</v>
      </c>
      <c r="G230" s="26" t="s">
        <v>180</v>
      </c>
      <c r="H230" s="28" t="n">
        <v>13</v>
      </c>
      <c r="I230" s="29" t="n">
        <v>0</v>
      </c>
      <c r="J230" s="29" t="n">
        <f aca="false">ROUND(H230*I230,2)</f>
        <v>0</v>
      </c>
      <c r="K230" s="29" t="n">
        <f aca="false">ROUND(J230*'Основания и цены'!$B$4,2)</f>
        <v>0</v>
      </c>
      <c r="L230" s="29" t="n">
        <f aca="false">Материалы!G113</f>
        <v>608.59</v>
      </c>
      <c r="M230" s="29" t="n">
        <f aca="false">ROUND(H230*L230,2)</f>
        <v>7911.67</v>
      </c>
      <c r="N230" s="29" t="n">
        <v>0</v>
      </c>
      <c r="O230" s="29" t="n">
        <f aca="false">ROUND(H230*N230,2)</f>
        <v>0</v>
      </c>
      <c r="P230" s="29" t="n">
        <v>0</v>
      </c>
      <c r="Q230" s="29" t="n">
        <f aca="false">ROUND(H230*P230,2)</f>
        <v>0</v>
      </c>
      <c r="R230" s="29" t="n">
        <f aca="false">ROUND(J230+K230+M230+O230+Q230,2)</f>
        <v>7911.67</v>
      </c>
      <c r="S230" s="26" t="s">
        <v>59</v>
      </c>
      <c r="T230" s="29" t="n">
        <f aca="false">IF(S230="УЧТЕНО",R230,0)</f>
        <v>7911.67</v>
      </c>
      <c r="U230" s="27" t="s">
        <v>600</v>
      </c>
    </row>
    <row r="231" customFormat="false" ht="30.75" hidden="false" customHeight="true" outlineLevel="0" collapsed="false">
      <c r="A231" s="26" t="n">
        <v>3</v>
      </c>
      <c r="B231" s="26" t="s">
        <v>74</v>
      </c>
      <c r="C231" s="26" t="s">
        <v>137</v>
      </c>
      <c r="D231" s="27" t="s">
        <v>601</v>
      </c>
      <c r="E231" s="28" t="n">
        <v>53</v>
      </c>
      <c r="F231" s="26" t="s">
        <v>180</v>
      </c>
      <c r="G231" s="26" t="s">
        <v>180</v>
      </c>
      <c r="H231" s="28" t="n">
        <v>56</v>
      </c>
      <c r="I231" s="29" t="n">
        <v>0</v>
      </c>
      <c r="J231" s="29" t="n">
        <f aca="false">ROUND(H231*I231,2)</f>
        <v>0</v>
      </c>
      <c r="K231" s="29" t="n">
        <f aca="false">ROUND(J231*'Основания и цены'!$B$4,2)</f>
        <v>0</v>
      </c>
      <c r="L231" s="29" t="n">
        <f aca="false">Материалы!G114</f>
        <v>976.8</v>
      </c>
      <c r="M231" s="29" t="n">
        <f aca="false">ROUND(H231*L231,2)</f>
        <v>54700.8</v>
      </c>
      <c r="N231" s="29" t="n">
        <v>0</v>
      </c>
      <c r="O231" s="29" t="n">
        <f aca="false">ROUND(H231*N231,2)</f>
        <v>0</v>
      </c>
      <c r="P231" s="29" t="n">
        <v>0</v>
      </c>
      <c r="Q231" s="29" t="n">
        <f aca="false">ROUND(H231*P231,2)</f>
        <v>0</v>
      </c>
      <c r="R231" s="29" t="n">
        <f aca="false">ROUND(J231+K231+M231+O231+Q231,2)</f>
        <v>54700.8</v>
      </c>
      <c r="S231" s="26" t="s">
        <v>59</v>
      </c>
      <c r="T231" s="29" t="n">
        <f aca="false">IF(S231="УЧТЕНО",R231,0)</f>
        <v>54700.8</v>
      </c>
      <c r="U231" s="27" t="s">
        <v>602</v>
      </c>
    </row>
    <row r="232" customFormat="false" ht="30.75" hidden="false" customHeight="true" outlineLevel="0" collapsed="false">
      <c r="A232" s="26" t="n">
        <v>3</v>
      </c>
      <c r="B232" s="26" t="s">
        <v>74</v>
      </c>
      <c r="C232" s="26" t="s">
        <v>140</v>
      </c>
      <c r="D232" s="27" t="s">
        <v>603</v>
      </c>
      <c r="E232" s="28" t="n">
        <v>53</v>
      </c>
      <c r="F232" s="26" t="s">
        <v>180</v>
      </c>
      <c r="G232" s="26" t="s">
        <v>180</v>
      </c>
      <c r="H232" s="28" t="n">
        <v>56</v>
      </c>
      <c r="I232" s="29" t="n">
        <v>0</v>
      </c>
      <c r="J232" s="29" t="n">
        <f aca="false">ROUND(H232*I232,2)</f>
        <v>0</v>
      </c>
      <c r="K232" s="29" t="n">
        <f aca="false">ROUND(J232*'Основания и цены'!$B$4,2)</f>
        <v>0</v>
      </c>
      <c r="L232" s="29" t="n">
        <f aca="false">Материалы!G115</f>
        <v>976.8</v>
      </c>
      <c r="M232" s="29" t="n">
        <f aca="false">ROUND(H232*L232,2)</f>
        <v>54700.8</v>
      </c>
      <c r="N232" s="29" t="n">
        <v>0</v>
      </c>
      <c r="O232" s="29" t="n">
        <f aca="false">ROUND(H232*N232,2)</f>
        <v>0</v>
      </c>
      <c r="P232" s="29" t="n">
        <v>0</v>
      </c>
      <c r="Q232" s="29" t="n">
        <f aca="false">ROUND(H232*P232,2)</f>
        <v>0</v>
      </c>
      <c r="R232" s="29" t="n">
        <f aca="false">ROUND(J232+K232+M232+O232+Q232,2)</f>
        <v>54700.8</v>
      </c>
      <c r="S232" s="26" t="s">
        <v>59</v>
      </c>
      <c r="T232" s="29" t="n">
        <f aca="false">IF(S232="УЧТЕНО",R232,0)</f>
        <v>54700.8</v>
      </c>
      <c r="U232" s="27" t="s">
        <v>604</v>
      </c>
    </row>
    <row r="233" customFormat="false" ht="21.75" hidden="false" customHeight="true" outlineLevel="0" collapsed="false">
      <c r="A233" s="26" t="n">
        <v>3</v>
      </c>
      <c r="B233" s="26" t="s">
        <v>74</v>
      </c>
      <c r="C233" s="26" t="s">
        <v>143</v>
      </c>
      <c r="D233" s="27" t="s">
        <v>605</v>
      </c>
      <c r="E233" s="28" t="n">
        <v>3</v>
      </c>
      <c r="F233" s="26" t="s">
        <v>135</v>
      </c>
      <c r="G233" s="26" t="s">
        <v>180</v>
      </c>
      <c r="H233" s="28" t="n">
        <v>1</v>
      </c>
      <c r="I233" s="29" t="n">
        <v>0</v>
      </c>
      <c r="J233" s="29" t="n">
        <f aca="false">ROUND(H233*I233,2)</f>
        <v>0</v>
      </c>
      <c r="K233" s="29" t="n">
        <f aca="false">ROUND(J233*'Основания и цены'!$B$4,2)</f>
        <v>0</v>
      </c>
      <c r="L233" s="29" t="n">
        <f aca="false">Материалы!G116</f>
        <v>958.8</v>
      </c>
      <c r="M233" s="29" t="n">
        <f aca="false">ROUND(H233*L233,2)</f>
        <v>958.8</v>
      </c>
      <c r="N233" s="29" t="n">
        <v>0</v>
      </c>
      <c r="O233" s="29" t="n">
        <f aca="false">ROUND(H233*N233,2)</f>
        <v>0</v>
      </c>
      <c r="P233" s="29" t="n">
        <v>0</v>
      </c>
      <c r="Q233" s="29" t="n">
        <f aca="false">ROUND(H233*P233,2)</f>
        <v>0</v>
      </c>
      <c r="R233" s="29" t="n">
        <f aca="false">ROUND(J233+K233+M233+O233+Q233,2)</f>
        <v>958.8</v>
      </c>
      <c r="S233" s="26" t="s">
        <v>59</v>
      </c>
      <c r="T233" s="29" t="n">
        <f aca="false">IF(S233="УЧТЕНО",R233,0)</f>
        <v>958.8</v>
      </c>
      <c r="U233" s="27" t="s">
        <v>606</v>
      </c>
    </row>
    <row r="234" customFormat="false" ht="21.75" hidden="false" customHeight="true" outlineLevel="0" collapsed="false">
      <c r="A234" s="26" t="n">
        <v>3</v>
      </c>
      <c r="B234" s="26" t="s">
        <v>74</v>
      </c>
      <c r="C234" s="26" t="s">
        <v>146</v>
      </c>
      <c r="D234" s="27" t="s">
        <v>607</v>
      </c>
      <c r="E234" s="28" t="n">
        <v>2</v>
      </c>
      <c r="F234" s="26" t="s">
        <v>180</v>
      </c>
      <c r="G234" s="26" t="s">
        <v>180</v>
      </c>
      <c r="H234" s="28" t="n">
        <v>3</v>
      </c>
      <c r="I234" s="29" t="n">
        <v>0</v>
      </c>
      <c r="J234" s="29" t="n">
        <f aca="false">ROUND(H234*I234,2)</f>
        <v>0</v>
      </c>
      <c r="K234" s="29" t="n">
        <f aca="false">ROUND(J234*'Основания и цены'!$B$4,2)</f>
        <v>0</v>
      </c>
      <c r="L234" s="29" t="n">
        <f aca="false">Материалы!G117</f>
        <v>2816.64</v>
      </c>
      <c r="M234" s="29" t="n">
        <f aca="false">ROUND(H234*L234,2)</f>
        <v>8449.92</v>
      </c>
      <c r="N234" s="29" t="n">
        <v>0</v>
      </c>
      <c r="O234" s="29" t="n">
        <f aca="false">ROUND(H234*N234,2)</f>
        <v>0</v>
      </c>
      <c r="P234" s="29" t="n">
        <v>0</v>
      </c>
      <c r="Q234" s="29" t="n">
        <f aca="false">ROUND(H234*P234,2)</f>
        <v>0</v>
      </c>
      <c r="R234" s="29" t="n">
        <f aca="false">ROUND(J234+K234+M234+O234+Q234,2)</f>
        <v>8449.92</v>
      </c>
      <c r="S234" s="26" t="s">
        <v>59</v>
      </c>
      <c r="T234" s="29" t="n">
        <f aca="false">IF(S234="УЧТЕНО",R234,0)</f>
        <v>8449.92</v>
      </c>
      <c r="U234" s="27" t="s">
        <v>608</v>
      </c>
    </row>
    <row r="235" customFormat="false" ht="30.75" hidden="false" customHeight="true" outlineLevel="0" collapsed="false">
      <c r="A235" s="26" t="n">
        <v>3</v>
      </c>
      <c r="B235" s="26" t="s">
        <v>74</v>
      </c>
      <c r="C235" s="26" t="s">
        <v>149</v>
      </c>
      <c r="D235" s="27" t="s">
        <v>609</v>
      </c>
      <c r="E235" s="28" t="n">
        <v>12</v>
      </c>
      <c r="F235" s="26" t="s">
        <v>180</v>
      </c>
      <c r="G235" s="26" t="s">
        <v>180</v>
      </c>
      <c r="H235" s="28" t="n">
        <v>13</v>
      </c>
      <c r="I235" s="29" t="n">
        <v>0</v>
      </c>
      <c r="J235" s="29" t="n">
        <f aca="false">ROUND(H235*I235,2)</f>
        <v>0</v>
      </c>
      <c r="K235" s="29" t="n">
        <f aca="false">ROUND(J235*'Основания и цены'!$B$4,2)</f>
        <v>0</v>
      </c>
      <c r="L235" s="29" t="n">
        <f aca="false">Материалы!G118</f>
        <v>1928.4</v>
      </c>
      <c r="M235" s="29" t="n">
        <f aca="false">ROUND(H235*L235,2)</f>
        <v>25069.2</v>
      </c>
      <c r="N235" s="29" t="n">
        <v>0</v>
      </c>
      <c r="O235" s="29" t="n">
        <f aca="false">ROUND(H235*N235,2)</f>
        <v>0</v>
      </c>
      <c r="P235" s="29" t="n">
        <v>0</v>
      </c>
      <c r="Q235" s="29" t="n">
        <f aca="false">ROUND(H235*P235,2)</f>
        <v>0</v>
      </c>
      <c r="R235" s="29" t="n">
        <f aca="false">ROUND(J235+K235+M235+O235+Q235,2)</f>
        <v>25069.2</v>
      </c>
      <c r="S235" s="26" t="s">
        <v>59</v>
      </c>
      <c r="T235" s="29" t="n">
        <f aca="false">IF(S235="УЧТЕНО",R235,0)</f>
        <v>25069.2</v>
      </c>
      <c r="U235" s="27" t="s">
        <v>610</v>
      </c>
    </row>
    <row r="236" customFormat="false" ht="21.75" hidden="false" customHeight="true" outlineLevel="0" collapsed="false">
      <c r="A236" s="26" t="n">
        <v>3</v>
      </c>
      <c r="B236" s="26" t="s">
        <v>74</v>
      </c>
      <c r="C236" s="26" t="s">
        <v>152</v>
      </c>
      <c r="D236" s="27" t="s">
        <v>611</v>
      </c>
      <c r="E236" s="28" t="n">
        <v>19</v>
      </c>
      <c r="F236" s="26" t="s">
        <v>180</v>
      </c>
      <c r="G236" s="26" t="s">
        <v>180</v>
      </c>
      <c r="H236" s="28" t="n">
        <v>20</v>
      </c>
      <c r="I236" s="29" t="n">
        <v>0</v>
      </c>
      <c r="J236" s="29" t="n">
        <f aca="false">ROUND(H236*I236,2)</f>
        <v>0</v>
      </c>
      <c r="K236" s="29" t="n">
        <f aca="false">ROUND(J236*'Основания и цены'!$B$4,2)</f>
        <v>0</v>
      </c>
      <c r="L236" s="29" t="n">
        <f aca="false">Материалы!G119</f>
        <v>501</v>
      </c>
      <c r="M236" s="29" t="n">
        <f aca="false">ROUND(H236*L236,2)</f>
        <v>10020</v>
      </c>
      <c r="N236" s="29" t="n">
        <v>0</v>
      </c>
      <c r="O236" s="29" t="n">
        <f aca="false">ROUND(H236*N236,2)</f>
        <v>0</v>
      </c>
      <c r="P236" s="29" t="n">
        <v>0</v>
      </c>
      <c r="Q236" s="29" t="n">
        <f aca="false">ROUND(H236*P236,2)</f>
        <v>0</v>
      </c>
      <c r="R236" s="29" t="n">
        <f aca="false">ROUND(J236+K236+M236+O236+Q236,2)</f>
        <v>10020</v>
      </c>
      <c r="S236" s="26" t="s">
        <v>59</v>
      </c>
      <c r="T236" s="29" t="n">
        <f aca="false">IF(S236="УЧТЕНО",R236,0)</f>
        <v>10020</v>
      </c>
      <c r="U236" s="27" t="s">
        <v>612</v>
      </c>
    </row>
    <row r="237" customFormat="false" ht="30.75" hidden="false" customHeight="true" outlineLevel="0" collapsed="false">
      <c r="A237" s="26" t="n">
        <v>3</v>
      </c>
      <c r="B237" s="26" t="s">
        <v>74</v>
      </c>
      <c r="C237" s="26" t="s">
        <v>155</v>
      </c>
      <c r="D237" s="27" t="s">
        <v>613</v>
      </c>
      <c r="E237" s="28" t="n">
        <v>8</v>
      </c>
      <c r="F237" s="26" t="s">
        <v>180</v>
      </c>
      <c r="G237" s="26" t="s">
        <v>180</v>
      </c>
      <c r="H237" s="28" t="n">
        <v>8</v>
      </c>
      <c r="I237" s="29" t="n">
        <v>0</v>
      </c>
      <c r="J237" s="29" t="n">
        <f aca="false">ROUND(H237*I237,2)</f>
        <v>0</v>
      </c>
      <c r="K237" s="29" t="n">
        <f aca="false">ROUND(J237*'Основания и цены'!$B$4,2)</f>
        <v>0</v>
      </c>
      <c r="L237" s="29" t="n">
        <f aca="false">Материалы!G120</f>
        <v>775.8</v>
      </c>
      <c r="M237" s="29" t="n">
        <f aca="false">ROUND(H237*L237,2)</f>
        <v>6206.4</v>
      </c>
      <c r="N237" s="29" t="n">
        <v>0</v>
      </c>
      <c r="O237" s="29" t="n">
        <f aca="false">ROUND(H237*N237,2)</f>
        <v>0</v>
      </c>
      <c r="P237" s="29" t="n">
        <v>0</v>
      </c>
      <c r="Q237" s="29" t="n">
        <f aca="false">ROUND(H237*P237,2)</f>
        <v>0</v>
      </c>
      <c r="R237" s="29" t="n">
        <f aca="false">ROUND(J237+K237+M237+O237+Q237,2)</f>
        <v>6206.4</v>
      </c>
      <c r="S237" s="26" t="s">
        <v>59</v>
      </c>
      <c r="T237" s="29" t="n">
        <f aca="false">IF(S237="УЧТЕНО",R237,0)</f>
        <v>6206.4</v>
      </c>
      <c r="U237" s="27" t="s">
        <v>614</v>
      </c>
    </row>
    <row r="238" customFormat="false" ht="30.75" hidden="false" customHeight="true" outlineLevel="0" collapsed="false">
      <c r="A238" s="26" t="n">
        <v>3</v>
      </c>
      <c r="B238" s="26" t="s">
        <v>74</v>
      </c>
      <c r="C238" s="26" t="s">
        <v>158</v>
      </c>
      <c r="D238" s="27" t="s">
        <v>615</v>
      </c>
      <c r="E238" s="28" t="n">
        <v>8</v>
      </c>
      <c r="F238" s="26" t="s">
        <v>180</v>
      </c>
      <c r="G238" s="26" t="s">
        <v>180</v>
      </c>
      <c r="H238" s="28" t="n">
        <v>8</v>
      </c>
      <c r="I238" s="29" t="n">
        <v>0</v>
      </c>
      <c r="J238" s="29" t="n">
        <f aca="false">ROUND(H238*I238,2)</f>
        <v>0</v>
      </c>
      <c r="K238" s="29" t="n">
        <f aca="false">ROUND(J238*'Основания и цены'!$B$4,2)</f>
        <v>0</v>
      </c>
      <c r="L238" s="29" t="n">
        <f aca="false">Материалы!G121</f>
        <v>350.4</v>
      </c>
      <c r="M238" s="29" t="n">
        <f aca="false">ROUND(H238*L238,2)</f>
        <v>2803.2</v>
      </c>
      <c r="N238" s="29" t="n">
        <v>0</v>
      </c>
      <c r="O238" s="29" t="n">
        <f aca="false">ROUND(H238*N238,2)</f>
        <v>0</v>
      </c>
      <c r="P238" s="29" t="n">
        <v>0</v>
      </c>
      <c r="Q238" s="29" t="n">
        <f aca="false">ROUND(H238*P238,2)</f>
        <v>0</v>
      </c>
      <c r="R238" s="29" t="n">
        <f aca="false">ROUND(J238+K238+M238+O238+Q238,2)</f>
        <v>2803.2</v>
      </c>
      <c r="S238" s="26" t="s">
        <v>59</v>
      </c>
      <c r="T238" s="29" t="n">
        <f aca="false">IF(S238="УЧТЕНО",R238,0)</f>
        <v>2803.2</v>
      </c>
      <c r="U238" s="27" t="s">
        <v>616</v>
      </c>
    </row>
    <row r="239" customFormat="false" ht="30.75" hidden="false" customHeight="true" outlineLevel="0" collapsed="false">
      <c r="A239" s="26" t="n">
        <v>3</v>
      </c>
      <c r="B239" s="26" t="s">
        <v>74</v>
      </c>
      <c r="C239" s="26" t="s">
        <v>161</v>
      </c>
      <c r="D239" s="27" t="s">
        <v>617</v>
      </c>
      <c r="E239" s="28" t="n">
        <v>13</v>
      </c>
      <c r="F239" s="26" t="s">
        <v>180</v>
      </c>
      <c r="G239" s="26" t="s">
        <v>180</v>
      </c>
      <c r="H239" s="28" t="n">
        <v>14</v>
      </c>
      <c r="I239" s="29" t="n">
        <v>0</v>
      </c>
      <c r="J239" s="29" t="n">
        <f aca="false">ROUND(H239*I239,2)</f>
        <v>0</v>
      </c>
      <c r="K239" s="29" t="n">
        <f aca="false">ROUND(J239*'Основания и цены'!$B$4,2)</f>
        <v>0</v>
      </c>
      <c r="L239" s="29" t="n">
        <f aca="false">Материалы!G122</f>
        <v>2589.3</v>
      </c>
      <c r="M239" s="29" t="n">
        <f aca="false">ROUND(H239*L239,2)</f>
        <v>36250.2</v>
      </c>
      <c r="N239" s="29" t="n">
        <v>0</v>
      </c>
      <c r="O239" s="29" t="n">
        <f aca="false">ROUND(H239*N239,2)</f>
        <v>0</v>
      </c>
      <c r="P239" s="29" t="n">
        <v>0</v>
      </c>
      <c r="Q239" s="29" t="n">
        <f aca="false">ROUND(H239*P239,2)</f>
        <v>0</v>
      </c>
      <c r="R239" s="29" t="n">
        <f aca="false">ROUND(J239+K239+M239+O239+Q239,2)</f>
        <v>36250.2</v>
      </c>
      <c r="S239" s="26" t="s">
        <v>59</v>
      </c>
      <c r="T239" s="29" t="n">
        <f aca="false">IF(S239="УЧТЕНО",R239,0)</f>
        <v>36250.2</v>
      </c>
      <c r="U239" s="27" t="s">
        <v>618</v>
      </c>
    </row>
    <row r="240" customFormat="false" ht="30.75" hidden="false" customHeight="true" outlineLevel="0" collapsed="false">
      <c r="A240" s="26" t="n">
        <v>3</v>
      </c>
      <c r="B240" s="26" t="s">
        <v>74</v>
      </c>
      <c r="C240" s="26" t="s">
        <v>164</v>
      </c>
      <c r="D240" s="27" t="s">
        <v>619</v>
      </c>
      <c r="E240" s="28" t="n">
        <v>8</v>
      </c>
      <c r="F240" s="26" t="s">
        <v>180</v>
      </c>
      <c r="G240" s="26" t="s">
        <v>180</v>
      </c>
      <c r="H240" s="28" t="n">
        <v>8</v>
      </c>
      <c r="I240" s="29" t="n">
        <v>0</v>
      </c>
      <c r="J240" s="29" t="n">
        <f aca="false">ROUND(H240*I240,2)</f>
        <v>0</v>
      </c>
      <c r="K240" s="29" t="n">
        <f aca="false">ROUND(J240*'Основания и цены'!$B$4,2)</f>
        <v>0</v>
      </c>
      <c r="L240" s="29" t="n">
        <f aca="false">Материалы!G123</f>
        <v>864.9</v>
      </c>
      <c r="M240" s="29" t="n">
        <f aca="false">ROUND(H240*L240,2)</f>
        <v>6919.2</v>
      </c>
      <c r="N240" s="29" t="n">
        <v>0</v>
      </c>
      <c r="O240" s="29" t="n">
        <f aca="false">ROUND(H240*N240,2)</f>
        <v>0</v>
      </c>
      <c r="P240" s="29" t="n">
        <v>0</v>
      </c>
      <c r="Q240" s="29" t="n">
        <f aca="false">ROUND(H240*P240,2)</f>
        <v>0</v>
      </c>
      <c r="R240" s="29" t="n">
        <f aca="false">ROUND(J240+K240+M240+O240+Q240,2)</f>
        <v>6919.2</v>
      </c>
      <c r="S240" s="26" t="s">
        <v>59</v>
      </c>
      <c r="T240" s="29" t="n">
        <f aca="false">IF(S240="УЧТЕНО",R240,0)</f>
        <v>6919.2</v>
      </c>
      <c r="U240" s="27" t="s">
        <v>620</v>
      </c>
    </row>
    <row r="241" customFormat="false" ht="30.75" hidden="false" customHeight="true" outlineLevel="0" collapsed="false">
      <c r="A241" s="26" t="n">
        <v>3</v>
      </c>
      <c r="B241" s="26" t="s">
        <v>74</v>
      </c>
      <c r="C241" s="26" t="s">
        <v>621</v>
      </c>
      <c r="D241" s="27" t="s">
        <v>622</v>
      </c>
      <c r="E241" s="28" t="n">
        <v>2</v>
      </c>
      <c r="F241" s="26" t="s">
        <v>180</v>
      </c>
      <c r="G241" s="26" t="s">
        <v>180</v>
      </c>
      <c r="H241" s="28" t="n">
        <v>2</v>
      </c>
      <c r="I241" s="29" t="n">
        <v>0</v>
      </c>
      <c r="J241" s="29" t="n">
        <f aca="false">ROUND(H241*I241,2)</f>
        <v>0</v>
      </c>
      <c r="K241" s="29" t="n">
        <f aca="false">ROUND(J241*'Основания и цены'!$B$4,2)</f>
        <v>0</v>
      </c>
      <c r="L241" s="29" t="n">
        <f aca="false">Материалы!G124</f>
        <v>1931.6</v>
      </c>
      <c r="M241" s="29" t="n">
        <f aca="false">ROUND(H241*L241,2)</f>
        <v>3863.2</v>
      </c>
      <c r="N241" s="29" t="n">
        <v>0</v>
      </c>
      <c r="O241" s="29" t="n">
        <f aca="false">ROUND(H241*N241,2)</f>
        <v>0</v>
      </c>
      <c r="P241" s="29" t="n">
        <v>0</v>
      </c>
      <c r="Q241" s="29" t="n">
        <f aca="false">ROUND(H241*P241,2)</f>
        <v>0</v>
      </c>
      <c r="R241" s="29" t="n">
        <f aca="false">ROUND(J241+K241+M241+O241+Q241,2)</f>
        <v>3863.2</v>
      </c>
      <c r="S241" s="26" t="s">
        <v>59</v>
      </c>
      <c r="T241" s="29" t="n">
        <f aca="false">IF(S241="УЧТЕНО",R241,0)</f>
        <v>3863.2</v>
      </c>
      <c r="U241" s="27" t="s">
        <v>623</v>
      </c>
    </row>
    <row r="242" customFormat="false" ht="21.75" hidden="false" customHeight="true" outlineLevel="0" collapsed="false">
      <c r="A242" s="26" t="n">
        <v>3</v>
      </c>
      <c r="B242" s="26" t="s">
        <v>74</v>
      </c>
      <c r="C242" s="26" t="s">
        <v>174</v>
      </c>
      <c r="D242" s="27" t="s">
        <v>624</v>
      </c>
      <c r="E242" s="28" t="n">
        <v>8</v>
      </c>
      <c r="F242" s="26" t="s">
        <v>180</v>
      </c>
      <c r="G242" s="26" t="s">
        <v>180</v>
      </c>
      <c r="H242" s="28" t="n">
        <v>9</v>
      </c>
      <c r="I242" s="29" t="n">
        <v>0</v>
      </c>
      <c r="J242" s="29" t="n">
        <f aca="false">ROUND(H242*I242,2)</f>
        <v>0</v>
      </c>
      <c r="K242" s="29" t="n">
        <f aca="false">ROUND(J242*'Основания и цены'!$B$4,2)</f>
        <v>0</v>
      </c>
      <c r="L242" s="29" t="n">
        <f aca="false">Материалы!G125</f>
        <v>368.1</v>
      </c>
      <c r="M242" s="29" t="n">
        <f aca="false">ROUND(H242*L242,2)</f>
        <v>3312.9</v>
      </c>
      <c r="N242" s="29" t="n">
        <v>0</v>
      </c>
      <c r="O242" s="29" t="n">
        <f aca="false">ROUND(H242*N242,2)</f>
        <v>0</v>
      </c>
      <c r="P242" s="29" t="n">
        <v>0</v>
      </c>
      <c r="Q242" s="29" t="n">
        <f aca="false">ROUND(H242*P242,2)</f>
        <v>0</v>
      </c>
      <c r="R242" s="29" t="n">
        <f aca="false">ROUND(J242+K242+M242+O242+Q242,2)</f>
        <v>3312.9</v>
      </c>
      <c r="S242" s="26" t="s">
        <v>59</v>
      </c>
      <c r="T242" s="29" t="n">
        <f aca="false">IF(S242="УЧТЕНО",R242,0)</f>
        <v>3312.9</v>
      </c>
      <c r="U242" s="27" t="s">
        <v>625</v>
      </c>
    </row>
    <row r="243" customFormat="false" ht="30.75" hidden="false" customHeight="true" outlineLevel="0" collapsed="false">
      <c r="A243" s="26" t="n">
        <v>3</v>
      </c>
      <c r="B243" s="26" t="s">
        <v>74</v>
      </c>
      <c r="C243" s="26" t="s">
        <v>178</v>
      </c>
      <c r="D243" s="27" t="s">
        <v>626</v>
      </c>
      <c r="E243" s="28" t="n">
        <v>28</v>
      </c>
      <c r="F243" s="26" t="s">
        <v>180</v>
      </c>
      <c r="G243" s="26" t="s">
        <v>180</v>
      </c>
      <c r="H243" s="28" t="n">
        <v>29</v>
      </c>
      <c r="I243" s="29" t="n">
        <v>0</v>
      </c>
      <c r="J243" s="29" t="n">
        <f aca="false">ROUND(H243*I243,2)</f>
        <v>0</v>
      </c>
      <c r="K243" s="29" t="n">
        <f aca="false">ROUND(J243*'Основания и цены'!$B$4,2)</f>
        <v>0</v>
      </c>
      <c r="L243" s="29" t="n">
        <f aca="false">Материалы!G126</f>
        <v>285.2</v>
      </c>
      <c r="M243" s="29" t="n">
        <f aca="false">ROUND(H243*L243,2)</f>
        <v>8270.8</v>
      </c>
      <c r="N243" s="29" t="n">
        <v>0</v>
      </c>
      <c r="O243" s="29" t="n">
        <f aca="false">ROUND(H243*N243,2)</f>
        <v>0</v>
      </c>
      <c r="P243" s="29" t="n">
        <v>0</v>
      </c>
      <c r="Q243" s="29" t="n">
        <f aca="false">ROUND(H243*P243,2)</f>
        <v>0</v>
      </c>
      <c r="R243" s="29" t="n">
        <f aca="false">ROUND(J243+K243+M243+O243+Q243,2)</f>
        <v>8270.8</v>
      </c>
      <c r="S243" s="26" t="s">
        <v>59</v>
      </c>
      <c r="T243" s="29" t="n">
        <f aca="false">IF(S243="УЧТЕНО",R243,0)</f>
        <v>8270.8</v>
      </c>
      <c r="U243" s="27" t="s">
        <v>627</v>
      </c>
    </row>
    <row r="244" customFormat="false" ht="21.75" hidden="false" customHeight="true" outlineLevel="0" collapsed="false">
      <c r="A244" s="26" t="n">
        <v>3</v>
      </c>
      <c r="B244" s="26" t="s">
        <v>74</v>
      </c>
      <c r="C244" s="26" t="s">
        <v>185</v>
      </c>
      <c r="D244" s="27" t="s">
        <v>628</v>
      </c>
      <c r="E244" s="28" t="s">
        <v>57</v>
      </c>
      <c r="F244" s="26" t="s">
        <v>57</v>
      </c>
      <c r="G244" s="26" t="s">
        <v>180</v>
      </c>
      <c r="H244" s="28" t="n">
        <v>5</v>
      </c>
      <c r="I244" s="29" t="n">
        <v>0</v>
      </c>
      <c r="J244" s="29" t="n">
        <f aca="false">ROUND(H244*I244,2)</f>
        <v>0</v>
      </c>
      <c r="K244" s="29" t="n">
        <f aca="false">ROUND(J244*'Основания и цены'!$B$4,2)</f>
        <v>0</v>
      </c>
      <c r="L244" s="29" t="n">
        <f aca="false">Материалы!G127</f>
        <v>24202.46</v>
      </c>
      <c r="M244" s="29" t="n">
        <f aca="false">ROUND(H244*L244,2)</f>
        <v>121012.3</v>
      </c>
      <c r="N244" s="29" t="n">
        <v>0</v>
      </c>
      <c r="O244" s="29" t="n">
        <f aca="false">ROUND(H244*N244,2)</f>
        <v>0</v>
      </c>
      <c r="P244" s="29" t="n">
        <v>0</v>
      </c>
      <c r="Q244" s="29" t="n">
        <f aca="false">ROUND(H244*P244,2)</f>
        <v>0</v>
      </c>
      <c r="R244" s="29" t="n">
        <f aca="false">ROUND(J244+K244+M244+O244+Q244,2)</f>
        <v>121012.3</v>
      </c>
      <c r="S244" s="26" t="s">
        <v>59</v>
      </c>
      <c r="T244" s="29" t="n">
        <f aca="false">IF(S244="УЧТЕНО",R244,0)</f>
        <v>121012.3</v>
      </c>
      <c r="U244" s="27" t="s">
        <v>629</v>
      </c>
    </row>
    <row r="245" customFormat="false" ht="21.75" hidden="false" customHeight="true" outlineLevel="0" collapsed="false">
      <c r="A245" s="26" t="n">
        <v>3</v>
      </c>
      <c r="B245" s="26" t="s">
        <v>74</v>
      </c>
      <c r="C245" s="26" t="s">
        <v>188</v>
      </c>
      <c r="D245" s="27" t="s">
        <v>630</v>
      </c>
      <c r="E245" s="28" t="s">
        <v>57</v>
      </c>
      <c r="F245" s="26" t="s">
        <v>57</v>
      </c>
      <c r="G245" s="26" t="s">
        <v>80</v>
      </c>
      <c r="H245" s="28" t="n">
        <v>69</v>
      </c>
      <c r="I245" s="29" t="n">
        <v>0</v>
      </c>
      <c r="J245" s="29" t="n">
        <f aca="false">ROUND(H245*I245,2)</f>
        <v>0</v>
      </c>
      <c r="K245" s="29" t="n">
        <f aca="false">ROUND(J245*'Основания и цены'!$B$4,2)</f>
        <v>0</v>
      </c>
      <c r="L245" s="29" t="n">
        <f aca="false">Материалы!G128</f>
        <v>945</v>
      </c>
      <c r="M245" s="29" t="n">
        <f aca="false">ROUND(H245*L245,2)</f>
        <v>65205</v>
      </c>
      <c r="N245" s="29" t="n">
        <v>0</v>
      </c>
      <c r="O245" s="29" t="n">
        <f aca="false">ROUND(H245*N245,2)</f>
        <v>0</v>
      </c>
      <c r="P245" s="29" t="n">
        <v>0</v>
      </c>
      <c r="Q245" s="29" t="n">
        <f aca="false">ROUND(H245*P245,2)</f>
        <v>0</v>
      </c>
      <c r="R245" s="29" t="n">
        <f aca="false">ROUND(J245+K245+M245+O245+Q245,2)</f>
        <v>65205</v>
      </c>
      <c r="S245" s="26" t="s">
        <v>59</v>
      </c>
      <c r="T245" s="29" t="n">
        <f aca="false">IF(S245="УЧТЕНО",R245,0)</f>
        <v>65205</v>
      </c>
      <c r="U245" s="27" t="s">
        <v>631</v>
      </c>
    </row>
    <row r="246" customFormat="false" ht="30.75" hidden="false" customHeight="true" outlineLevel="0" collapsed="false">
      <c r="A246" s="26" t="n">
        <v>3</v>
      </c>
      <c r="B246" s="26" t="s">
        <v>74</v>
      </c>
      <c r="C246" s="26" t="s">
        <v>192</v>
      </c>
      <c r="D246" s="27" t="s">
        <v>632</v>
      </c>
      <c r="E246" s="28" t="s">
        <v>57</v>
      </c>
      <c r="F246" s="26" t="s">
        <v>57</v>
      </c>
      <c r="G246" s="26" t="s">
        <v>180</v>
      </c>
      <c r="H246" s="28" t="n">
        <v>14</v>
      </c>
      <c r="I246" s="29" t="n">
        <v>0</v>
      </c>
      <c r="J246" s="29" t="n">
        <f aca="false">ROUND(H246*I246,2)</f>
        <v>0</v>
      </c>
      <c r="K246" s="29" t="n">
        <f aca="false">ROUND(J246*'Основания и цены'!$B$4,2)</f>
        <v>0</v>
      </c>
      <c r="L246" s="29" t="n">
        <f aca="false">Материалы!G129</f>
        <v>1788</v>
      </c>
      <c r="M246" s="29" t="n">
        <f aca="false">ROUND(H246*L246,2)</f>
        <v>25032</v>
      </c>
      <c r="N246" s="29" t="n">
        <v>0</v>
      </c>
      <c r="O246" s="29" t="n">
        <f aca="false">ROUND(H246*N246,2)</f>
        <v>0</v>
      </c>
      <c r="P246" s="29" t="n">
        <v>0</v>
      </c>
      <c r="Q246" s="29" t="n">
        <f aca="false">ROUND(H246*P246,2)</f>
        <v>0</v>
      </c>
      <c r="R246" s="29" t="n">
        <f aca="false">ROUND(J246+K246+M246+O246+Q246,2)</f>
        <v>25032</v>
      </c>
      <c r="S246" s="26" t="s">
        <v>59</v>
      </c>
      <c r="T246" s="29" t="n">
        <f aca="false">IF(S246="УЧТЕНО",R246,0)</f>
        <v>25032</v>
      </c>
      <c r="U246" s="27" t="s">
        <v>633</v>
      </c>
    </row>
    <row r="247" customFormat="false" ht="21.75" hidden="false" customHeight="true" outlineLevel="0" collapsed="false">
      <c r="A247" s="26" t="n">
        <v>3</v>
      </c>
      <c r="B247" s="26" t="s">
        <v>74</v>
      </c>
      <c r="C247" s="26" t="s">
        <v>195</v>
      </c>
      <c r="D247" s="27" t="s">
        <v>211</v>
      </c>
      <c r="E247" s="28" t="s">
        <v>57</v>
      </c>
      <c r="F247" s="26" t="s">
        <v>57</v>
      </c>
      <c r="G247" s="26" t="s">
        <v>212</v>
      </c>
      <c r="H247" s="28" t="n">
        <v>1</v>
      </c>
      <c r="I247" s="29" t="n">
        <v>0</v>
      </c>
      <c r="J247" s="29" t="n">
        <f aca="false">ROUND(H247*I247,2)</f>
        <v>0</v>
      </c>
      <c r="K247" s="29" t="n">
        <f aca="false">ROUND(J247*'Основания и цены'!$B$4,2)</f>
        <v>0</v>
      </c>
      <c r="L247" s="29" t="n">
        <f aca="false">Материалы!G130</f>
        <v>77217.49</v>
      </c>
      <c r="M247" s="29" t="n">
        <f aca="false">ROUND(H247*L247,2)</f>
        <v>77217.49</v>
      </c>
      <c r="N247" s="29" t="n">
        <v>0</v>
      </c>
      <c r="O247" s="29" t="n">
        <f aca="false">ROUND(H247*N247,2)</f>
        <v>0</v>
      </c>
      <c r="P247" s="29" t="n">
        <v>0</v>
      </c>
      <c r="Q247" s="29" t="n">
        <f aca="false">ROUND(H247*P247,2)</f>
        <v>0</v>
      </c>
      <c r="R247" s="29" t="n">
        <f aca="false">ROUND(J247+K247+M247+O247+Q247,2)</f>
        <v>77217.49</v>
      </c>
      <c r="S247" s="26" t="s">
        <v>59</v>
      </c>
      <c r="T247" s="29" t="n">
        <f aca="false">IF(S247="УЧТЕНО",R247,0)</f>
        <v>77217.49</v>
      </c>
      <c r="U247" s="27" t="s">
        <v>634</v>
      </c>
    </row>
    <row r="248" customFormat="false" ht="30.75" hidden="false" customHeight="true" outlineLevel="0" collapsed="false">
      <c r="A248" s="26" t="n">
        <v>3</v>
      </c>
      <c r="B248" s="26" t="s">
        <v>74</v>
      </c>
      <c r="C248" s="26" t="s">
        <v>198</v>
      </c>
      <c r="D248" s="27" t="s">
        <v>635</v>
      </c>
      <c r="E248" s="28" t="s">
        <v>57</v>
      </c>
      <c r="F248" s="26" t="s">
        <v>57</v>
      </c>
      <c r="G248" s="26" t="s">
        <v>63</v>
      </c>
      <c r="H248" s="28" t="n">
        <v>2</v>
      </c>
      <c r="I248" s="29" t="n">
        <v>0</v>
      </c>
      <c r="J248" s="29" t="n">
        <f aca="false">ROUND(H248*I248,2)</f>
        <v>0</v>
      </c>
      <c r="K248" s="29" t="n">
        <f aca="false">ROUND(J248*'Основания и цены'!$B$4,2)</f>
        <v>0</v>
      </c>
      <c r="L248" s="29" t="n">
        <v>0</v>
      </c>
      <c r="M248" s="29" t="n">
        <f aca="false">ROUND(H248*L248,2)</f>
        <v>0</v>
      </c>
      <c r="N248" s="29" t="n">
        <v>0</v>
      </c>
      <c r="O248" s="29" t="n">
        <f aca="false">ROUND(H248*N248,2)</f>
        <v>0</v>
      </c>
      <c r="P248" s="29" t="n">
        <v>24000</v>
      </c>
      <c r="Q248" s="29" t="n">
        <f aca="false">ROUND(H248*P248,2)</f>
        <v>48000</v>
      </c>
      <c r="R248" s="29" t="n">
        <f aca="false">ROUND(J248+K248+M248+O248+Q248,2)</f>
        <v>48000</v>
      </c>
      <c r="S248" s="26" t="s">
        <v>59</v>
      </c>
      <c r="T248" s="29" t="n">
        <f aca="false">IF(S248="УЧТЕНО",R248,0)</f>
        <v>48000</v>
      </c>
      <c r="U248" s="27" t="s">
        <v>636</v>
      </c>
    </row>
    <row r="249" customFormat="false" ht="21.75" hidden="false" customHeight="true" outlineLevel="0" collapsed="false">
      <c r="A249" s="26" t="n">
        <v>3</v>
      </c>
      <c r="B249" s="26" t="s">
        <v>74</v>
      </c>
      <c r="C249" s="26" t="s">
        <v>201</v>
      </c>
      <c r="D249" s="27" t="s">
        <v>637</v>
      </c>
      <c r="E249" s="28" t="s">
        <v>57</v>
      </c>
      <c r="F249" s="26" t="s">
        <v>57</v>
      </c>
      <c r="G249" s="26" t="s">
        <v>63</v>
      </c>
      <c r="H249" s="28" t="n">
        <v>1</v>
      </c>
      <c r="I249" s="29" t="n">
        <v>0</v>
      </c>
      <c r="J249" s="29" t="n">
        <f aca="false">ROUND(H249*I249,2)</f>
        <v>0</v>
      </c>
      <c r="K249" s="29" t="n">
        <f aca="false">ROUND(J249*'Основания и цены'!$B$4,2)</f>
        <v>0</v>
      </c>
      <c r="L249" s="29" t="n">
        <v>0</v>
      </c>
      <c r="M249" s="29" t="n">
        <f aca="false">ROUND(H249*L249,2)</f>
        <v>0</v>
      </c>
      <c r="N249" s="29" t="n">
        <v>0</v>
      </c>
      <c r="O249" s="29" t="n">
        <f aca="false">ROUND(H249*N249,2)</f>
        <v>0</v>
      </c>
      <c r="P249" s="29" t="n">
        <v>24000</v>
      </c>
      <c r="Q249" s="29" t="n">
        <f aca="false">ROUND(H249*P249,2)</f>
        <v>24000</v>
      </c>
      <c r="R249" s="29" t="n">
        <f aca="false">ROUND(J249+K249+M249+O249+Q249,2)</f>
        <v>24000</v>
      </c>
      <c r="S249" s="26" t="s">
        <v>59</v>
      </c>
      <c r="T249" s="29" t="n">
        <f aca="false">IF(S249="УЧТЕНО",R249,0)</f>
        <v>24000</v>
      </c>
      <c r="U249" s="27" t="s">
        <v>638</v>
      </c>
    </row>
    <row r="250" customFormat="false" ht="21.75" hidden="false" customHeight="true" outlineLevel="0" collapsed="false">
      <c r="A250" s="26" t="n">
        <v>3</v>
      </c>
      <c r="B250" s="26" t="s">
        <v>74</v>
      </c>
      <c r="C250" s="26" t="s">
        <v>639</v>
      </c>
      <c r="D250" s="27" t="s">
        <v>640</v>
      </c>
      <c r="E250" s="28" t="s">
        <v>57</v>
      </c>
      <c r="F250" s="26" t="s">
        <v>57</v>
      </c>
      <c r="G250" s="26" t="s">
        <v>63</v>
      </c>
      <c r="H250" s="28" t="n">
        <v>2</v>
      </c>
      <c r="I250" s="29" t="n">
        <v>0</v>
      </c>
      <c r="J250" s="29" t="n">
        <f aca="false">ROUND(H250*I250,2)</f>
        <v>0</v>
      </c>
      <c r="K250" s="29" t="n">
        <f aca="false">ROUND(J250*'Основания и цены'!$B$4,2)</f>
        <v>0</v>
      </c>
      <c r="L250" s="29" t="n">
        <v>0</v>
      </c>
      <c r="M250" s="29" t="n">
        <f aca="false">ROUND(H250*L250,2)</f>
        <v>0</v>
      </c>
      <c r="N250" s="29" t="n">
        <v>0</v>
      </c>
      <c r="O250" s="29" t="n">
        <f aca="false">ROUND(H250*N250,2)</f>
        <v>0</v>
      </c>
      <c r="P250" s="29" t="n">
        <v>24000</v>
      </c>
      <c r="Q250" s="29" t="n">
        <f aca="false">ROUND(H250*P250,2)</f>
        <v>48000</v>
      </c>
      <c r="R250" s="29" t="n">
        <f aca="false">ROUND(J250+K250+M250+O250+Q250,2)</f>
        <v>48000</v>
      </c>
      <c r="S250" s="26" t="s">
        <v>59</v>
      </c>
      <c r="T250" s="29" t="n">
        <f aca="false">IF(S250="УЧТЕНО",R250,0)</f>
        <v>48000</v>
      </c>
      <c r="U250" s="27" t="s">
        <v>641</v>
      </c>
    </row>
    <row r="251" customFormat="false" ht="15" hidden="false" customHeight="true" outlineLevel="0" collapsed="false">
      <c r="A251" s="30"/>
      <c r="B251" s="30"/>
      <c r="C251" s="30"/>
      <c r="D251" s="30" t="s">
        <v>223</v>
      </c>
      <c r="E251" s="30"/>
      <c r="F251" s="30"/>
      <c r="G251" s="30"/>
      <c r="H251" s="30"/>
      <c r="I251" s="30"/>
      <c r="J251" s="31" t="n">
        <f aca="false">ROUND(SUMIF($S$212:$S$250,"УЧТЕНО",$J$212:$J$250),2)</f>
        <v>1873792.13</v>
      </c>
      <c r="K251" s="31" t="n">
        <f aca="false">ROUND(SUMIF($S$212:$S$250,"УЧТЕНО",$K$212:$K$250),2)</f>
        <v>562137.64</v>
      </c>
      <c r="L251" s="30"/>
      <c r="M251" s="31" t="n">
        <f aca="false">ROUND(SUMIF($S$212:$S$250,"УЧТЕНО",$M$212:$M$250),2)</f>
        <v>3938091.89</v>
      </c>
      <c r="N251" s="30"/>
      <c r="O251" s="31" t="n">
        <f aca="false">ROUND(SUMIF($S$212:$S$250,"УЧТЕНО",$O$212:$O$250),2)</f>
        <v>0</v>
      </c>
      <c r="P251" s="30"/>
      <c r="Q251" s="31" t="n">
        <f aca="false">ROUND(SUMIF($S$212:$S$250,"УЧТЕНО",$Q$212:$Q$250),2)</f>
        <v>120000</v>
      </c>
      <c r="R251" s="31" t="n">
        <f aca="false">ROUND(J251+K251+M251+O251+Q251,2)</f>
        <v>6494021.66</v>
      </c>
      <c r="S251" s="30" t="s">
        <v>72</v>
      </c>
      <c r="T251" s="31" t="n">
        <f aca="false">R251</f>
        <v>6494021.66</v>
      </c>
      <c r="U251" s="30"/>
    </row>
    <row r="252" customFormat="false" ht="15" hidden="false" customHeight="true" outlineLevel="0" collapsed="false">
      <c r="A252" s="36"/>
      <c r="B252" s="36"/>
      <c r="C252" s="36"/>
      <c r="D252" s="36" t="s">
        <v>642</v>
      </c>
      <c r="E252" s="36"/>
      <c r="F252" s="36"/>
      <c r="G252" s="36"/>
      <c r="H252" s="36"/>
      <c r="I252" s="36"/>
      <c r="J252" s="37" t="n">
        <f aca="false">ROUND(SUM(J210,J251),2)</f>
        <v>2084440.29</v>
      </c>
      <c r="K252" s="37" t="n">
        <f aca="false">ROUND(SUM(K210,K251),2)</f>
        <v>625332.09</v>
      </c>
      <c r="L252" s="36"/>
      <c r="M252" s="37" t="n">
        <f aca="false">ROUND(SUM(M210,M251),2)</f>
        <v>4800328.57</v>
      </c>
      <c r="N252" s="36"/>
      <c r="O252" s="37" t="n">
        <f aca="false">ROUND(SUM(O210,O251),2)</f>
        <v>0</v>
      </c>
      <c r="P252" s="36"/>
      <c r="Q252" s="37" t="n">
        <f aca="false">ROUND(SUM(Q210,Q251),2)</f>
        <v>144000</v>
      </c>
      <c r="R252" s="37" t="n">
        <f aca="false">ROUND(SUM(R210,R251),2)</f>
        <v>7654100.95</v>
      </c>
      <c r="S252" s="36" t="s">
        <v>284</v>
      </c>
      <c r="T252" s="37" t="n">
        <f aca="false">ROUND(SUM(T210,T251),2)</f>
        <v>7654100.95</v>
      </c>
      <c r="U252" s="36"/>
    </row>
    <row r="253" customFormat="false" ht="25.5" hidden="false" customHeight="true" outlineLevel="0" collapsed="false">
      <c r="A253" s="22" t="s">
        <v>16</v>
      </c>
      <c r="B253" s="22"/>
      <c r="C253" s="22"/>
      <c r="D253" s="22"/>
      <c r="E253" s="22"/>
      <c r="F253" s="22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</row>
    <row r="254" customFormat="false" ht="42" hidden="false" customHeight="true" outlineLevel="0" collapsed="false">
      <c r="A254" s="24" t="s">
        <v>643</v>
      </c>
      <c r="B254" s="24"/>
      <c r="C254" s="24"/>
      <c r="D254" s="24"/>
      <c r="E254" s="24"/>
      <c r="F254" s="24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</row>
    <row r="255" customFormat="false" ht="21.75" hidden="false" customHeight="true" outlineLevel="0" collapsed="false">
      <c r="A255" s="26" t="n">
        <v>4</v>
      </c>
      <c r="B255" s="26" t="s">
        <v>54</v>
      </c>
      <c r="C255" s="26" t="s">
        <v>55</v>
      </c>
      <c r="D255" s="27" t="s">
        <v>644</v>
      </c>
      <c r="E255" s="28" t="n">
        <v>94.1973</v>
      </c>
      <c r="F255" s="26" t="s">
        <v>80</v>
      </c>
      <c r="G255" s="26" t="s">
        <v>80</v>
      </c>
      <c r="H255" s="28" t="n">
        <v>94.1973</v>
      </c>
      <c r="I255" s="29" t="n">
        <v>3230.77</v>
      </c>
      <c r="J255" s="29" t="n">
        <f aca="false">ROUND(H255*I255,2)</f>
        <v>304329.81</v>
      </c>
      <c r="K255" s="29" t="n">
        <f aca="false">ROUND(J255*'Основания и цены'!$B$4,2)</f>
        <v>91298.94</v>
      </c>
      <c r="L255" s="29" t="n">
        <v>0</v>
      </c>
      <c r="M255" s="29" t="n">
        <f aca="false">ROUND(H255*L255,2)</f>
        <v>0</v>
      </c>
      <c r="N255" s="29" t="n">
        <v>0</v>
      </c>
      <c r="O255" s="29" t="n">
        <f aca="false">ROUND(H255*N255,2)</f>
        <v>0</v>
      </c>
      <c r="P255" s="29" t="n">
        <v>0</v>
      </c>
      <c r="Q255" s="29" t="n">
        <f aca="false">ROUND(H255*P255,2)</f>
        <v>0</v>
      </c>
      <c r="R255" s="29" t="n">
        <f aca="false">ROUND(J255+K255+M255+O255+Q255,2)</f>
        <v>395628.75</v>
      </c>
      <c r="S255" s="26" t="s">
        <v>59</v>
      </c>
      <c r="T255" s="29" t="n">
        <f aca="false">IF(S255="УЧТЕНО",R255,0)</f>
        <v>395628.75</v>
      </c>
      <c r="U255" s="27" t="s">
        <v>645</v>
      </c>
    </row>
    <row r="256" customFormat="false" ht="21.75" hidden="false" customHeight="true" outlineLevel="0" collapsed="false">
      <c r="A256" s="26" t="n">
        <v>4</v>
      </c>
      <c r="B256" s="26" t="s">
        <v>54</v>
      </c>
      <c r="C256" s="26" t="s">
        <v>61</v>
      </c>
      <c r="D256" s="27" t="s">
        <v>646</v>
      </c>
      <c r="E256" s="28" t="n">
        <v>94.1973</v>
      </c>
      <c r="F256" s="26" t="s">
        <v>80</v>
      </c>
      <c r="G256" s="26" t="s">
        <v>80</v>
      </c>
      <c r="H256" s="28" t="n">
        <v>94.1973</v>
      </c>
      <c r="I256" s="29" t="n">
        <v>110.77</v>
      </c>
      <c r="J256" s="29" t="n">
        <f aca="false">ROUND(H256*I256,2)</f>
        <v>10434.23</v>
      </c>
      <c r="K256" s="29" t="n">
        <f aca="false">ROUND(J256*'Основания и цены'!$B$4,2)</f>
        <v>3130.27</v>
      </c>
      <c r="L256" s="29" t="n">
        <v>0</v>
      </c>
      <c r="M256" s="29" t="n">
        <f aca="false">ROUND(H256*L256,2)</f>
        <v>0</v>
      </c>
      <c r="N256" s="29" t="n">
        <v>0</v>
      </c>
      <c r="O256" s="29" t="n">
        <f aca="false">ROUND(H256*N256,2)</f>
        <v>0</v>
      </c>
      <c r="P256" s="29" t="n">
        <v>0</v>
      </c>
      <c r="Q256" s="29" t="n">
        <f aca="false">ROUND(H256*P256,2)</f>
        <v>0</v>
      </c>
      <c r="R256" s="29" t="n">
        <f aca="false">ROUND(J256+K256+M256+O256+Q256,2)</f>
        <v>13564.5</v>
      </c>
      <c r="S256" s="26" t="s">
        <v>59</v>
      </c>
      <c r="T256" s="29" t="n">
        <f aca="false">IF(S256="УЧТЕНО",R256,0)</f>
        <v>13564.5</v>
      </c>
      <c r="U256" s="27" t="s">
        <v>647</v>
      </c>
    </row>
    <row r="257" customFormat="false" ht="30.75" hidden="false" customHeight="true" outlineLevel="0" collapsed="false">
      <c r="A257" s="26" t="n">
        <v>4</v>
      </c>
      <c r="B257" s="26" t="s">
        <v>54</v>
      </c>
      <c r="C257" s="26" t="s">
        <v>65</v>
      </c>
      <c r="D257" s="27" t="s">
        <v>648</v>
      </c>
      <c r="E257" s="28" t="s">
        <v>57</v>
      </c>
      <c r="F257" s="26" t="s">
        <v>57</v>
      </c>
      <c r="G257" s="26" t="s">
        <v>649</v>
      </c>
      <c r="H257" s="28" t="n">
        <v>1</v>
      </c>
      <c r="I257" s="29" t="n">
        <v>0</v>
      </c>
      <c r="J257" s="29" t="n">
        <f aca="false">ROUND(H257*I257,2)</f>
        <v>0</v>
      </c>
      <c r="K257" s="29" t="n">
        <f aca="false">ROUND(J257*'Основания и цены'!$B$4,2)</f>
        <v>0</v>
      </c>
      <c r="L257" s="29" t="n">
        <f aca="false">Материалы!G131</f>
        <v>2147698.44</v>
      </c>
      <c r="M257" s="29" t="n">
        <f aca="false">ROUND(H257*L257,2)</f>
        <v>2147698.44</v>
      </c>
      <c r="N257" s="29" t="n">
        <v>0</v>
      </c>
      <c r="O257" s="29" t="n">
        <f aca="false">ROUND(H257*N257,2)</f>
        <v>0</v>
      </c>
      <c r="P257" s="29" t="n">
        <v>0</v>
      </c>
      <c r="Q257" s="29" t="n">
        <f aca="false">ROUND(H257*P257,2)</f>
        <v>0</v>
      </c>
      <c r="R257" s="29" t="n">
        <f aca="false">ROUND(J257+K257+M257+O257+Q257,2)</f>
        <v>2147698.44</v>
      </c>
      <c r="S257" s="26" t="s">
        <v>59</v>
      </c>
      <c r="T257" s="29" t="n">
        <f aca="false">IF(S257="УЧТЕНО",R257,0)</f>
        <v>2147698.44</v>
      </c>
      <c r="U257" s="27" t="s">
        <v>650</v>
      </c>
    </row>
    <row r="258" customFormat="false" ht="30.75" hidden="false" customHeight="true" outlineLevel="0" collapsed="false">
      <c r="A258" s="26" t="n">
        <v>4</v>
      </c>
      <c r="B258" s="26" t="s">
        <v>54</v>
      </c>
      <c r="C258" s="26" t="s">
        <v>68</v>
      </c>
      <c r="D258" s="27" t="s">
        <v>651</v>
      </c>
      <c r="E258" s="28" t="s">
        <v>57</v>
      </c>
      <c r="F258" s="26" t="s">
        <v>57</v>
      </c>
      <c r="G258" s="26" t="s">
        <v>649</v>
      </c>
      <c r="H258" s="28" t="n">
        <v>1</v>
      </c>
      <c r="I258" s="29" t="n">
        <v>0</v>
      </c>
      <c r="J258" s="29" t="n">
        <f aca="false">ROUND(H258*I258,2)</f>
        <v>0</v>
      </c>
      <c r="K258" s="29" t="n">
        <f aca="false">ROUND(J258*'Основания и цены'!$B$4,2)</f>
        <v>0</v>
      </c>
      <c r="L258" s="29" t="n">
        <f aca="false">Материалы!G132</f>
        <v>257723.81</v>
      </c>
      <c r="M258" s="29" t="n">
        <f aca="false">ROUND(H258*L258,2)</f>
        <v>257723.81</v>
      </c>
      <c r="N258" s="29" t="n">
        <v>0</v>
      </c>
      <c r="O258" s="29" t="n">
        <f aca="false">ROUND(H258*N258,2)</f>
        <v>0</v>
      </c>
      <c r="P258" s="29" t="n">
        <v>0</v>
      </c>
      <c r="Q258" s="29" t="n">
        <f aca="false">ROUND(H258*P258,2)</f>
        <v>0</v>
      </c>
      <c r="R258" s="29" t="n">
        <f aca="false">ROUND(J258+K258+M258+O258+Q258,2)</f>
        <v>257723.81</v>
      </c>
      <c r="S258" s="26" t="s">
        <v>59</v>
      </c>
      <c r="T258" s="29" t="n">
        <f aca="false">IF(S258="УЧТЕНО",R258,0)</f>
        <v>257723.81</v>
      </c>
      <c r="U258" s="27" t="s">
        <v>652</v>
      </c>
    </row>
    <row r="259" customFormat="false" ht="21.75" hidden="false" customHeight="true" outlineLevel="0" collapsed="false">
      <c r="A259" s="26" t="n">
        <v>4</v>
      </c>
      <c r="B259" s="26" t="s">
        <v>54</v>
      </c>
      <c r="C259" s="26" t="s">
        <v>295</v>
      </c>
      <c r="D259" s="27" t="s">
        <v>653</v>
      </c>
      <c r="E259" s="28" t="s">
        <v>57</v>
      </c>
      <c r="F259" s="26" t="s">
        <v>57</v>
      </c>
      <c r="G259" s="26" t="s">
        <v>63</v>
      </c>
      <c r="H259" s="28" t="n">
        <v>2</v>
      </c>
      <c r="I259" s="29" t="n">
        <v>0</v>
      </c>
      <c r="J259" s="29" t="n">
        <f aca="false">ROUND(H259*I259,2)</f>
        <v>0</v>
      </c>
      <c r="K259" s="29" t="n">
        <f aca="false">ROUND(J259*'Основания и цены'!$B$4,2)</f>
        <v>0</v>
      </c>
      <c r="L259" s="29" t="n">
        <v>0</v>
      </c>
      <c r="M259" s="29" t="n">
        <f aca="false">ROUND(H259*L259,2)</f>
        <v>0</v>
      </c>
      <c r="N259" s="29" t="n">
        <v>0</v>
      </c>
      <c r="O259" s="29" t="n">
        <f aca="false">ROUND(H259*N259,2)</f>
        <v>0</v>
      </c>
      <c r="P259" s="29" t="n">
        <v>8640</v>
      </c>
      <c r="Q259" s="29" t="n">
        <f aca="false">ROUND(H259*P259,2)</f>
        <v>17280</v>
      </c>
      <c r="R259" s="29" t="n">
        <f aca="false">ROUND(J259+K259+M259+O259+Q259,2)</f>
        <v>17280</v>
      </c>
      <c r="S259" s="26" t="s">
        <v>59</v>
      </c>
      <c r="T259" s="29" t="n">
        <f aca="false">IF(S259="УЧТЕНО",R259,0)</f>
        <v>17280</v>
      </c>
      <c r="U259" s="27" t="s">
        <v>654</v>
      </c>
    </row>
    <row r="260" customFormat="false" ht="15" hidden="false" customHeight="true" outlineLevel="0" collapsed="false">
      <c r="A260" s="30"/>
      <c r="B260" s="30"/>
      <c r="C260" s="30"/>
      <c r="D260" s="30" t="s">
        <v>71</v>
      </c>
      <c r="E260" s="30"/>
      <c r="F260" s="30"/>
      <c r="G260" s="30"/>
      <c r="H260" s="30"/>
      <c r="I260" s="30"/>
      <c r="J260" s="31" t="n">
        <f aca="false">ROUND(SUMIF($S$255:$S$259,"УЧТЕНО",$J$255:$J$259),2)</f>
        <v>314764.04</v>
      </c>
      <c r="K260" s="31" t="n">
        <f aca="false">ROUND(SUMIF($S$255:$S$259,"УЧТЕНО",$K$255:$K$259),2)</f>
        <v>94429.21</v>
      </c>
      <c r="L260" s="30"/>
      <c r="M260" s="31" t="n">
        <f aca="false">ROUND(SUMIF($S$255:$S$259,"УЧТЕНО",$M$255:$M$259),2)</f>
        <v>2405422.25</v>
      </c>
      <c r="N260" s="30"/>
      <c r="O260" s="31" t="n">
        <f aca="false">ROUND(SUMIF($S$255:$S$259,"УЧТЕНО",$O$255:$O$259),2)</f>
        <v>0</v>
      </c>
      <c r="P260" s="30"/>
      <c r="Q260" s="31" t="n">
        <f aca="false">ROUND(SUMIF($S$255:$S$259,"УЧТЕНО",$Q$255:$Q$259),2)</f>
        <v>17280</v>
      </c>
      <c r="R260" s="31" t="n">
        <f aca="false">ROUND(J260+K260+M260+O260+Q260,2)</f>
        <v>2831895.5</v>
      </c>
      <c r="S260" s="30" t="s">
        <v>72</v>
      </c>
      <c r="T260" s="31" t="n">
        <f aca="false">R260</f>
        <v>2831895.5</v>
      </c>
      <c r="U260" s="30"/>
    </row>
    <row r="261" customFormat="false" ht="42" hidden="false" customHeight="true" outlineLevel="0" collapsed="false">
      <c r="A261" s="24" t="s">
        <v>655</v>
      </c>
      <c r="B261" s="24"/>
      <c r="C261" s="24"/>
      <c r="D261" s="24"/>
      <c r="E261" s="24"/>
      <c r="F261" s="24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</row>
    <row r="262" customFormat="false" ht="21.75" hidden="false" customHeight="true" outlineLevel="0" collapsed="false">
      <c r="A262" s="26" t="n">
        <v>4</v>
      </c>
      <c r="B262" s="26" t="s">
        <v>74</v>
      </c>
      <c r="C262" s="26" t="s">
        <v>75</v>
      </c>
      <c r="D262" s="27" t="s">
        <v>656</v>
      </c>
      <c r="E262" s="28" t="s">
        <v>57</v>
      </c>
      <c r="F262" s="26" t="s">
        <v>57</v>
      </c>
      <c r="G262" s="26" t="s">
        <v>180</v>
      </c>
      <c r="H262" s="28" t="n">
        <v>1</v>
      </c>
      <c r="I262" s="29" t="n">
        <v>0</v>
      </c>
      <c r="J262" s="29" t="n">
        <f aca="false">ROUND(H262*I262,2)</f>
        <v>0</v>
      </c>
      <c r="K262" s="29" t="n">
        <f aca="false">ROUND(J262*'Основания и цены'!$B$4,2)</f>
        <v>0</v>
      </c>
      <c r="L262" s="29" t="n">
        <f aca="false">Материалы!G133</f>
        <v>159540</v>
      </c>
      <c r="M262" s="29" t="n">
        <f aca="false">ROUND(H262*L262,2)</f>
        <v>159540</v>
      </c>
      <c r="N262" s="29" t="n">
        <v>0</v>
      </c>
      <c r="O262" s="29" t="n">
        <f aca="false">ROUND(H262*N262,2)</f>
        <v>0</v>
      </c>
      <c r="P262" s="29" t="n">
        <v>0</v>
      </c>
      <c r="Q262" s="29" t="n">
        <f aca="false">ROUND(H262*P262,2)</f>
        <v>0</v>
      </c>
      <c r="R262" s="29" t="n">
        <f aca="false">ROUND(J262+K262+M262+O262+Q262,2)</f>
        <v>159540</v>
      </c>
      <c r="S262" s="26" t="s">
        <v>59</v>
      </c>
      <c r="T262" s="29" t="n">
        <f aca="false">IF(S262="УЧТЕНО",R262,0)</f>
        <v>159540</v>
      </c>
      <c r="U262" s="27" t="s">
        <v>657</v>
      </c>
    </row>
    <row r="263" customFormat="false" ht="21.75" hidden="false" customHeight="true" outlineLevel="0" collapsed="false">
      <c r="A263" s="26" t="n">
        <v>4</v>
      </c>
      <c r="B263" s="26" t="s">
        <v>74</v>
      </c>
      <c r="C263" s="26" t="s">
        <v>78</v>
      </c>
      <c r="D263" s="27" t="s">
        <v>658</v>
      </c>
      <c r="E263" s="28" t="s">
        <v>57</v>
      </c>
      <c r="F263" s="26" t="s">
        <v>57</v>
      </c>
      <c r="G263" s="26" t="s">
        <v>63</v>
      </c>
      <c r="H263" s="28" t="n">
        <v>1</v>
      </c>
      <c r="I263" s="29" t="n">
        <v>0</v>
      </c>
      <c r="J263" s="29" t="n">
        <f aca="false">ROUND(H263*I263,2)</f>
        <v>0</v>
      </c>
      <c r="K263" s="29" t="n">
        <f aca="false">ROUND(J263*'Основания и цены'!$B$4,2)</f>
        <v>0</v>
      </c>
      <c r="L263" s="29" t="n">
        <v>0</v>
      </c>
      <c r="M263" s="29" t="n">
        <f aca="false">ROUND(H263*L263,2)</f>
        <v>0</v>
      </c>
      <c r="N263" s="29" t="n">
        <v>0</v>
      </c>
      <c r="O263" s="29" t="n">
        <f aca="false">ROUND(H263*N263,2)</f>
        <v>0</v>
      </c>
      <c r="P263" s="29" t="n">
        <v>24000</v>
      </c>
      <c r="Q263" s="29" t="n">
        <f aca="false">ROUND(H263*P263,2)</f>
        <v>24000</v>
      </c>
      <c r="R263" s="29" t="n">
        <f aca="false">ROUND(J263+K263+M263+O263+Q263,2)</f>
        <v>24000</v>
      </c>
      <c r="S263" s="26" t="s">
        <v>59</v>
      </c>
      <c r="T263" s="29" t="n">
        <f aca="false">IF(S263="УЧТЕНО",R263,0)</f>
        <v>24000</v>
      </c>
      <c r="U263" s="27" t="s">
        <v>659</v>
      </c>
    </row>
    <row r="264" customFormat="false" ht="15" hidden="false" customHeight="true" outlineLevel="0" collapsed="false">
      <c r="A264" s="30"/>
      <c r="B264" s="30"/>
      <c r="C264" s="30"/>
      <c r="D264" s="30" t="s">
        <v>223</v>
      </c>
      <c r="E264" s="30"/>
      <c r="F264" s="30"/>
      <c r="G264" s="30"/>
      <c r="H264" s="30"/>
      <c r="I264" s="30"/>
      <c r="J264" s="31" t="n">
        <f aca="false">ROUND(SUMIF($S$262:$S$263,"УЧТЕНО",$J$262:$J$263),2)</f>
        <v>0</v>
      </c>
      <c r="K264" s="31" t="n">
        <f aca="false">ROUND(SUMIF($S$262:$S$263,"УЧТЕНО",$K$262:$K$263),2)</f>
        <v>0</v>
      </c>
      <c r="L264" s="30"/>
      <c r="M264" s="31" t="n">
        <f aca="false">ROUND(SUMIF($S$262:$S$263,"УЧТЕНО",$M$262:$M$263),2)</f>
        <v>159540</v>
      </c>
      <c r="N264" s="30"/>
      <c r="O264" s="31" t="n">
        <f aca="false">ROUND(SUMIF($S$262:$S$263,"УЧТЕНО",$O$262:$O$263),2)</f>
        <v>0</v>
      </c>
      <c r="P264" s="30"/>
      <c r="Q264" s="31" t="n">
        <f aca="false">ROUND(SUMIF($S$262:$S$263,"УЧТЕНО",$Q$262:$Q$263),2)</f>
        <v>24000</v>
      </c>
      <c r="R264" s="31" t="n">
        <f aca="false">ROUND(J264+K264+M264+O264+Q264,2)</f>
        <v>183540</v>
      </c>
      <c r="S264" s="30" t="s">
        <v>72</v>
      </c>
      <c r="T264" s="31" t="n">
        <f aca="false">R264</f>
        <v>183540</v>
      </c>
      <c r="U264" s="30"/>
    </row>
    <row r="265" customFormat="false" ht="15" hidden="false" customHeight="true" outlineLevel="0" collapsed="false">
      <c r="A265" s="36"/>
      <c r="B265" s="36"/>
      <c r="C265" s="36"/>
      <c r="D265" s="36" t="s">
        <v>660</v>
      </c>
      <c r="E265" s="36"/>
      <c r="F265" s="36"/>
      <c r="G265" s="36"/>
      <c r="H265" s="36"/>
      <c r="I265" s="36"/>
      <c r="J265" s="37" t="n">
        <f aca="false">ROUND(SUM(J260,J264),2)</f>
        <v>314764.04</v>
      </c>
      <c r="K265" s="37" t="n">
        <f aca="false">ROUND(SUM(K260,K264),2)</f>
        <v>94429.21</v>
      </c>
      <c r="L265" s="36"/>
      <c r="M265" s="37" t="n">
        <f aca="false">ROUND(SUM(M260,M264),2)</f>
        <v>2564962.25</v>
      </c>
      <c r="N265" s="36"/>
      <c r="O265" s="37" t="n">
        <f aca="false">ROUND(SUM(O260,O264),2)</f>
        <v>0</v>
      </c>
      <c r="P265" s="36"/>
      <c r="Q265" s="37" t="n">
        <f aca="false">ROUND(SUM(Q260,Q264),2)</f>
        <v>41280</v>
      </c>
      <c r="R265" s="37" t="n">
        <f aca="false">ROUND(SUM(R260,R264),2)</f>
        <v>3015435.5</v>
      </c>
      <c r="S265" s="36" t="s">
        <v>284</v>
      </c>
      <c r="T265" s="37" t="n">
        <f aca="false">ROUND(SUM(T260,T264),2)</f>
        <v>3015435.5</v>
      </c>
      <c r="U265" s="36"/>
    </row>
    <row r="266" customFormat="false" ht="25.5" hidden="false" customHeight="true" outlineLevel="0" collapsed="false">
      <c r="A266" s="22" t="s">
        <v>17</v>
      </c>
      <c r="B266" s="22"/>
      <c r="C266" s="22"/>
      <c r="D266" s="22"/>
      <c r="E266" s="22"/>
      <c r="F266" s="22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</row>
    <row r="267" customFormat="false" ht="42" hidden="false" customHeight="true" outlineLevel="0" collapsed="false">
      <c r="A267" s="24" t="s">
        <v>661</v>
      </c>
      <c r="B267" s="24"/>
      <c r="C267" s="24"/>
      <c r="D267" s="24"/>
      <c r="E267" s="24"/>
      <c r="F267" s="24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</row>
    <row r="268" customFormat="false" ht="21.75" hidden="false" customHeight="true" outlineLevel="0" collapsed="false">
      <c r="A268" s="26" t="n">
        <v>5</v>
      </c>
      <c r="B268" s="26" t="s">
        <v>54</v>
      </c>
      <c r="C268" s="26" t="s">
        <v>55</v>
      </c>
      <c r="D268" s="27" t="s">
        <v>662</v>
      </c>
      <c r="E268" s="28" t="s">
        <v>57</v>
      </c>
      <c r="F268" s="26" t="s">
        <v>57</v>
      </c>
      <c r="G268" s="26" t="s">
        <v>80</v>
      </c>
      <c r="H268" s="28" t="n">
        <v>38</v>
      </c>
      <c r="I268" s="29" t="n">
        <v>138.46</v>
      </c>
      <c r="J268" s="29" t="n">
        <f aca="false">ROUND(H268*I268,2)</f>
        <v>5261.48</v>
      </c>
      <c r="K268" s="29" t="n">
        <f aca="false">ROUND(J268*'Основания и цены'!$B$4,2)</f>
        <v>1578.44</v>
      </c>
      <c r="L268" s="29" t="n">
        <v>0</v>
      </c>
      <c r="M268" s="29" t="n">
        <f aca="false">ROUND(H268*L268,2)</f>
        <v>0</v>
      </c>
      <c r="N268" s="29" t="n">
        <v>0</v>
      </c>
      <c r="O268" s="29" t="n">
        <f aca="false">ROUND(H268*N268,2)</f>
        <v>0</v>
      </c>
      <c r="P268" s="29" t="n">
        <v>0</v>
      </c>
      <c r="Q268" s="29" t="n">
        <f aca="false">ROUND(H268*P268,2)</f>
        <v>0</v>
      </c>
      <c r="R268" s="29" t="n">
        <f aca="false">ROUND(J268+K268+M268+O268+Q268,2)</f>
        <v>6839.92</v>
      </c>
      <c r="S268" s="26" t="s">
        <v>59</v>
      </c>
      <c r="T268" s="29" t="n">
        <f aca="false">IF(S268="УЧТЕНО",R268,0)</f>
        <v>6839.92</v>
      </c>
      <c r="U268" s="27" t="s">
        <v>663</v>
      </c>
    </row>
    <row r="269" customFormat="false" ht="30.75" hidden="false" customHeight="true" outlineLevel="0" collapsed="false">
      <c r="A269" s="26" t="n">
        <v>5</v>
      </c>
      <c r="B269" s="26" t="s">
        <v>54</v>
      </c>
      <c r="C269" s="26" t="s">
        <v>61</v>
      </c>
      <c r="D269" s="27" t="s">
        <v>664</v>
      </c>
      <c r="E269" s="28" t="s">
        <v>57</v>
      </c>
      <c r="F269" s="26" t="s">
        <v>57</v>
      </c>
      <c r="G269" s="26" t="s">
        <v>80</v>
      </c>
      <c r="H269" s="28" t="n">
        <v>38</v>
      </c>
      <c r="I269" s="29" t="n">
        <v>1107.7</v>
      </c>
      <c r="J269" s="29" t="n">
        <f aca="false">ROUND(H269*I269,2)</f>
        <v>42092.6</v>
      </c>
      <c r="K269" s="29" t="n">
        <f aca="false">ROUND(J269*'Основания и цены'!$B$4,2)</f>
        <v>12627.78</v>
      </c>
      <c r="L269" s="29" t="n">
        <v>0</v>
      </c>
      <c r="M269" s="29" t="n">
        <f aca="false">ROUND(H269*L269,2)</f>
        <v>0</v>
      </c>
      <c r="N269" s="29" t="n">
        <v>0</v>
      </c>
      <c r="O269" s="29" t="n">
        <f aca="false">ROUND(H269*N269,2)</f>
        <v>0</v>
      </c>
      <c r="P269" s="29" t="n">
        <v>0</v>
      </c>
      <c r="Q269" s="29" t="n">
        <f aca="false">ROUND(H269*P269,2)</f>
        <v>0</v>
      </c>
      <c r="R269" s="29" t="n">
        <f aca="false">ROUND(J269+K269+M269+O269+Q269,2)</f>
        <v>54720.38</v>
      </c>
      <c r="S269" s="26" t="s">
        <v>59</v>
      </c>
      <c r="T269" s="29" t="n">
        <f aca="false">IF(S269="УЧТЕНО",R269,0)</f>
        <v>54720.38</v>
      </c>
      <c r="U269" s="27" t="s">
        <v>665</v>
      </c>
    </row>
    <row r="270" customFormat="false" ht="30.75" hidden="false" customHeight="true" outlineLevel="0" collapsed="false">
      <c r="A270" s="26" t="n">
        <v>5</v>
      </c>
      <c r="B270" s="26" t="s">
        <v>54</v>
      </c>
      <c r="C270" s="26" t="s">
        <v>65</v>
      </c>
      <c r="D270" s="27" t="s">
        <v>666</v>
      </c>
      <c r="E270" s="28" t="s">
        <v>57</v>
      </c>
      <c r="F270" s="26" t="s">
        <v>57</v>
      </c>
      <c r="G270" s="26" t="s">
        <v>80</v>
      </c>
      <c r="H270" s="28" t="n">
        <v>38</v>
      </c>
      <c r="I270" s="29" t="n">
        <v>166.15</v>
      </c>
      <c r="J270" s="29" t="n">
        <f aca="false">ROUND(H270*I270,2)</f>
        <v>6313.7</v>
      </c>
      <c r="K270" s="29" t="n">
        <f aca="false">ROUND(J270*'Основания и цены'!$B$4,2)</f>
        <v>1894.11</v>
      </c>
      <c r="L270" s="29" t="n">
        <v>0</v>
      </c>
      <c r="M270" s="29" t="n">
        <f aca="false">ROUND(H270*L270,2)</f>
        <v>0</v>
      </c>
      <c r="N270" s="29" t="n">
        <v>0</v>
      </c>
      <c r="O270" s="29" t="n">
        <f aca="false">ROUND(H270*N270,2)</f>
        <v>0</v>
      </c>
      <c r="P270" s="29" t="n">
        <v>0</v>
      </c>
      <c r="Q270" s="29" t="n">
        <f aca="false">ROUND(H270*P270,2)</f>
        <v>0</v>
      </c>
      <c r="R270" s="29" t="n">
        <f aca="false">ROUND(J270+K270+M270+O270+Q270,2)</f>
        <v>8207.81</v>
      </c>
      <c r="S270" s="26" t="s">
        <v>59</v>
      </c>
      <c r="T270" s="29" t="n">
        <f aca="false">IF(S270="УЧТЕНО",R270,0)</f>
        <v>8207.81</v>
      </c>
      <c r="U270" s="27" t="s">
        <v>667</v>
      </c>
    </row>
    <row r="271" customFormat="false" ht="30.75" hidden="false" customHeight="true" outlineLevel="0" collapsed="false">
      <c r="A271" s="26" t="n">
        <v>5</v>
      </c>
      <c r="B271" s="26" t="s">
        <v>54</v>
      </c>
      <c r="C271" s="26" t="s">
        <v>68</v>
      </c>
      <c r="D271" s="27" t="s">
        <v>668</v>
      </c>
      <c r="E271" s="28" t="s">
        <v>57</v>
      </c>
      <c r="F271" s="26" t="s">
        <v>57</v>
      </c>
      <c r="G271" s="26" t="s">
        <v>80</v>
      </c>
      <c r="H271" s="28" t="n">
        <v>38</v>
      </c>
      <c r="I271" s="29" t="n">
        <v>2769.23</v>
      </c>
      <c r="J271" s="29" t="n">
        <f aca="false">ROUND(H271*I271,2)</f>
        <v>105230.74</v>
      </c>
      <c r="K271" s="29" t="n">
        <f aca="false">ROUND(J271*'Основания и цены'!$B$4,2)</f>
        <v>31569.22</v>
      </c>
      <c r="L271" s="29" t="n">
        <v>0</v>
      </c>
      <c r="M271" s="29" t="n">
        <f aca="false">ROUND(H271*L271,2)</f>
        <v>0</v>
      </c>
      <c r="N271" s="29" t="n">
        <v>0</v>
      </c>
      <c r="O271" s="29" t="n">
        <f aca="false">ROUND(H271*N271,2)</f>
        <v>0</v>
      </c>
      <c r="P271" s="29" t="n">
        <v>0</v>
      </c>
      <c r="Q271" s="29" t="n">
        <f aca="false">ROUND(H271*P271,2)</f>
        <v>0</v>
      </c>
      <c r="R271" s="29" t="n">
        <f aca="false">ROUND(J271+K271+M271+O271+Q271,2)</f>
        <v>136799.96</v>
      </c>
      <c r="S271" s="26" t="s">
        <v>59</v>
      </c>
      <c r="T271" s="29" t="n">
        <f aca="false">IF(S271="УЧТЕНО",R271,0)</f>
        <v>136799.96</v>
      </c>
      <c r="U271" s="27" t="s">
        <v>669</v>
      </c>
    </row>
    <row r="272" customFormat="false" ht="30.75" hidden="false" customHeight="true" outlineLevel="0" collapsed="false">
      <c r="A272" s="26" t="n">
        <v>5</v>
      </c>
      <c r="B272" s="26" t="s">
        <v>54</v>
      </c>
      <c r="C272" s="26" t="s">
        <v>295</v>
      </c>
      <c r="D272" s="27" t="s">
        <v>670</v>
      </c>
      <c r="E272" s="28" t="s">
        <v>57</v>
      </c>
      <c r="F272" s="26" t="s">
        <v>57</v>
      </c>
      <c r="G272" s="26" t="s">
        <v>80</v>
      </c>
      <c r="H272" s="28" t="n">
        <v>38</v>
      </c>
      <c r="I272" s="29" t="n">
        <v>461.54</v>
      </c>
      <c r="J272" s="29" t="n">
        <f aca="false">ROUND(H272*I272,2)</f>
        <v>17538.52</v>
      </c>
      <c r="K272" s="29" t="n">
        <f aca="false">ROUND(J272*'Основания и цены'!$B$4,2)</f>
        <v>5261.56</v>
      </c>
      <c r="L272" s="29" t="n">
        <v>0</v>
      </c>
      <c r="M272" s="29" t="n">
        <f aca="false">ROUND(H272*L272,2)</f>
        <v>0</v>
      </c>
      <c r="N272" s="29" t="n">
        <v>0</v>
      </c>
      <c r="O272" s="29" t="n">
        <f aca="false">ROUND(H272*N272,2)</f>
        <v>0</v>
      </c>
      <c r="P272" s="29" t="n">
        <v>0</v>
      </c>
      <c r="Q272" s="29" t="n">
        <f aca="false">ROUND(H272*P272,2)</f>
        <v>0</v>
      </c>
      <c r="R272" s="29" t="n">
        <f aca="false">ROUND(J272+K272+M272+O272+Q272,2)</f>
        <v>22800.08</v>
      </c>
      <c r="S272" s="26" t="s">
        <v>59</v>
      </c>
      <c r="T272" s="29" t="n">
        <f aca="false">IF(S272="УЧТЕНО",R272,0)</f>
        <v>22800.08</v>
      </c>
      <c r="U272" s="27" t="s">
        <v>671</v>
      </c>
    </row>
    <row r="273" customFormat="false" ht="30.75" hidden="false" customHeight="true" outlineLevel="0" collapsed="false">
      <c r="A273" s="26" t="n">
        <v>5</v>
      </c>
      <c r="B273" s="26" t="s">
        <v>54</v>
      </c>
      <c r="C273" s="26" t="s">
        <v>298</v>
      </c>
      <c r="D273" s="27" t="s">
        <v>672</v>
      </c>
      <c r="E273" s="28" t="s">
        <v>57</v>
      </c>
      <c r="F273" s="26" t="s">
        <v>57</v>
      </c>
      <c r="G273" s="26" t="s">
        <v>80</v>
      </c>
      <c r="H273" s="28" t="n">
        <v>38</v>
      </c>
      <c r="I273" s="29" t="n">
        <v>756.92</v>
      </c>
      <c r="J273" s="29" t="n">
        <f aca="false">ROUND(H273*I273,2)</f>
        <v>28762.96</v>
      </c>
      <c r="K273" s="29" t="n">
        <f aca="false">ROUND(J273*'Основания и цены'!$B$4,2)</f>
        <v>8628.89</v>
      </c>
      <c r="L273" s="29" t="n">
        <v>0</v>
      </c>
      <c r="M273" s="29" t="n">
        <f aca="false">ROUND(H273*L273,2)</f>
        <v>0</v>
      </c>
      <c r="N273" s="29" t="n">
        <v>0</v>
      </c>
      <c r="O273" s="29" t="n">
        <f aca="false">ROUND(H273*N273,2)</f>
        <v>0</v>
      </c>
      <c r="P273" s="29" t="n">
        <v>0</v>
      </c>
      <c r="Q273" s="29" t="n">
        <f aca="false">ROUND(H273*P273,2)</f>
        <v>0</v>
      </c>
      <c r="R273" s="29" t="n">
        <f aca="false">ROUND(J273+K273+M273+O273+Q273,2)</f>
        <v>37391.85</v>
      </c>
      <c r="S273" s="26" t="s">
        <v>59</v>
      </c>
      <c r="T273" s="29" t="n">
        <f aca="false">IF(S273="УЧТЕНО",R273,0)</f>
        <v>37391.85</v>
      </c>
      <c r="U273" s="27" t="s">
        <v>673</v>
      </c>
    </row>
    <row r="274" customFormat="false" ht="30.75" hidden="false" customHeight="true" outlineLevel="0" collapsed="false">
      <c r="A274" s="26" t="n">
        <v>5</v>
      </c>
      <c r="B274" s="26" t="s">
        <v>54</v>
      </c>
      <c r="C274" s="26" t="s">
        <v>301</v>
      </c>
      <c r="D274" s="27" t="s">
        <v>674</v>
      </c>
      <c r="E274" s="28" t="s">
        <v>57</v>
      </c>
      <c r="F274" s="26" t="s">
        <v>57</v>
      </c>
      <c r="G274" s="26" t="s">
        <v>80</v>
      </c>
      <c r="H274" s="28" t="n">
        <v>38</v>
      </c>
      <c r="I274" s="29" t="n">
        <v>313.85</v>
      </c>
      <c r="J274" s="29" t="n">
        <f aca="false">ROUND(H274*I274,2)</f>
        <v>11926.3</v>
      </c>
      <c r="K274" s="29" t="n">
        <f aca="false">ROUND(J274*'Основания и цены'!$B$4,2)</f>
        <v>3577.89</v>
      </c>
      <c r="L274" s="29" t="n">
        <v>0</v>
      </c>
      <c r="M274" s="29" t="n">
        <f aca="false">ROUND(H274*L274,2)</f>
        <v>0</v>
      </c>
      <c r="N274" s="29" t="n">
        <v>0</v>
      </c>
      <c r="O274" s="29" t="n">
        <f aca="false">ROUND(H274*N274,2)</f>
        <v>0</v>
      </c>
      <c r="P274" s="29" t="n">
        <v>0</v>
      </c>
      <c r="Q274" s="29" t="n">
        <f aca="false">ROUND(H274*P274,2)</f>
        <v>0</v>
      </c>
      <c r="R274" s="29" t="n">
        <f aca="false">ROUND(J274+K274+M274+O274+Q274,2)</f>
        <v>15504.19</v>
      </c>
      <c r="S274" s="26" t="s">
        <v>59</v>
      </c>
      <c r="T274" s="29" t="n">
        <f aca="false">IF(S274="УЧТЕНО",R274,0)</f>
        <v>15504.19</v>
      </c>
      <c r="U274" s="27" t="s">
        <v>675</v>
      </c>
    </row>
    <row r="275" customFormat="false" ht="30.75" hidden="false" customHeight="true" outlineLevel="0" collapsed="false">
      <c r="A275" s="26" t="n">
        <v>5</v>
      </c>
      <c r="B275" s="26" t="s">
        <v>54</v>
      </c>
      <c r="C275" s="26" t="s">
        <v>304</v>
      </c>
      <c r="D275" s="27" t="s">
        <v>676</v>
      </c>
      <c r="E275" s="28" t="s">
        <v>57</v>
      </c>
      <c r="F275" s="26" t="s">
        <v>57</v>
      </c>
      <c r="G275" s="26" t="s">
        <v>677</v>
      </c>
      <c r="H275" s="28" t="n">
        <v>12</v>
      </c>
      <c r="I275" s="29" t="n">
        <v>0</v>
      </c>
      <c r="J275" s="29" t="n">
        <f aca="false">ROUND(H275*I275,2)</f>
        <v>0</v>
      </c>
      <c r="K275" s="29" t="n">
        <f aca="false">ROUND(J275*'Основания и цены'!$B$4,2)</f>
        <v>0</v>
      </c>
      <c r="L275" s="29" t="n">
        <f aca="false">Материалы!G134</f>
        <v>127.68</v>
      </c>
      <c r="M275" s="29" t="n">
        <f aca="false">ROUND(H275*L275,2)</f>
        <v>1532.16</v>
      </c>
      <c r="N275" s="29" t="n">
        <v>0</v>
      </c>
      <c r="O275" s="29" t="n">
        <f aca="false">ROUND(H275*N275,2)</f>
        <v>0</v>
      </c>
      <c r="P275" s="29" t="n">
        <v>0</v>
      </c>
      <c r="Q275" s="29" t="n">
        <f aca="false">ROUND(H275*P275,2)</f>
        <v>0</v>
      </c>
      <c r="R275" s="29" t="n">
        <f aca="false">ROUND(J275+K275+M275+O275+Q275,2)</f>
        <v>1532.16</v>
      </c>
      <c r="S275" s="26" t="s">
        <v>59</v>
      </c>
      <c r="T275" s="29" t="n">
        <f aca="false">IF(S275="УЧТЕНО",R275,0)</f>
        <v>1532.16</v>
      </c>
      <c r="U275" s="27" t="s">
        <v>678</v>
      </c>
    </row>
    <row r="276" customFormat="false" ht="30.75" hidden="false" customHeight="true" outlineLevel="0" collapsed="false">
      <c r="A276" s="26" t="n">
        <v>5</v>
      </c>
      <c r="B276" s="26" t="s">
        <v>54</v>
      </c>
      <c r="C276" s="26" t="s">
        <v>307</v>
      </c>
      <c r="D276" s="27" t="s">
        <v>679</v>
      </c>
      <c r="E276" s="28" t="s">
        <v>57</v>
      </c>
      <c r="F276" s="26" t="s">
        <v>57</v>
      </c>
      <c r="G276" s="26" t="s">
        <v>190</v>
      </c>
      <c r="H276" s="28" t="n">
        <v>725</v>
      </c>
      <c r="I276" s="29" t="n">
        <v>0</v>
      </c>
      <c r="J276" s="29" t="n">
        <f aca="false">ROUND(H276*I276,2)</f>
        <v>0</v>
      </c>
      <c r="K276" s="29" t="n">
        <f aca="false">ROUND(J276*'Основания и цены'!$B$4,2)</f>
        <v>0</v>
      </c>
      <c r="L276" s="29" t="n">
        <f aca="false">Материалы!G135</f>
        <v>21.95</v>
      </c>
      <c r="M276" s="29" t="n">
        <f aca="false">ROUND(H276*L276,2)</f>
        <v>15913.75</v>
      </c>
      <c r="N276" s="29" t="n">
        <v>0</v>
      </c>
      <c r="O276" s="29" t="n">
        <f aca="false">ROUND(H276*N276,2)</f>
        <v>0</v>
      </c>
      <c r="P276" s="29" t="n">
        <v>0</v>
      </c>
      <c r="Q276" s="29" t="n">
        <f aca="false">ROUND(H276*P276,2)</f>
        <v>0</v>
      </c>
      <c r="R276" s="29" t="n">
        <f aca="false">ROUND(J276+K276+M276+O276+Q276,2)</f>
        <v>15913.75</v>
      </c>
      <c r="S276" s="26" t="s">
        <v>59</v>
      </c>
      <c r="T276" s="29" t="n">
        <f aca="false">IF(S276="УЧТЕНО",R276,0)</f>
        <v>15913.75</v>
      </c>
      <c r="U276" s="27" t="s">
        <v>680</v>
      </c>
    </row>
    <row r="277" customFormat="false" ht="30.75" hidden="false" customHeight="true" outlineLevel="0" collapsed="false">
      <c r="A277" s="26" t="n">
        <v>5</v>
      </c>
      <c r="B277" s="26" t="s">
        <v>54</v>
      </c>
      <c r="C277" s="26" t="s">
        <v>310</v>
      </c>
      <c r="D277" s="27" t="s">
        <v>681</v>
      </c>
      <c r="E277" s="28" t="s">
        <v>57</v>
      </c>
      <c r="F277" s="26" t="s">
        <v>57</v>
      </c>
      <c r="G277" s="26" t="s">
        <v>190</v>
      </c>
      <c r="H277" s="28" t="n">
        <v>138</v>
      </c>
      <c r="I277" s="29" t="n">
        <v>0</v>
      </c>
      <c r="J277" s="29" t="n">
        <f aca="false">ROUND(H277*I277,2)</f>
        <v>0</v>
      </c>
      <c r="K277" s="29" t="n">
        <f aca="false">ROUND(J277*'Основания и цены'!$B$4,2)</f>
        <v>0</v>
      </c>
      <c r="L277" s="29" t="n">
        <f aca="false">Материалы!G136</f>
        <v>428.45</v>
      </c>
      <c r="M277" s="29" t="n">
        <f aca="false">ROUND(H277*L277,2)</f>
        <v>59126.1</v>
      </c>
      <c r="N277" s="29" t="n">
        <v>0</v>
      </c>
      <c r="O277" s="29" t="n">
        <f aca="false">ROUND(H277*N277,2)</f>
        <v>0</v>
      </c>
      <c r="P277" s="29" t="n">
        <v>0</v>
      </c>
      <c r="Q277" s="29" t="n">
        <f aca="false">ROUND(H277*P277,2)</f>
        <v>0</v>
      </c>
      <c r="R277" s="29" t="n">
        <f aca="false">ROUND(J277+K277+M277+O277+Q277,2)</f>
        <v>59126.1</v>
      </c>
      <c r="S277" s="26" t="s">
        <v>59</v>
      </c>
      <c r="T277" s="29" t="n">
        <f aca="false">IF(S277="УЧТЕНО",R277,0)</f>
        <v>59126.1</v>
      </c>
      <c r="U277" s="27" t="s">
        <v>682</v>
      </c>
    </row>
    <row r="278" customFormat="false" ht="30.75" hidden="false" customHeight="true" outlineLevel="0" collapsed="false">
      <c r="A278" s="26" t="n">
        <v>5</v>
      </c>
      <c r="B278" s="26" t="s">
        <v>54</v>
      </c>
      <c r="C278" s="26" t="s">
        <v>313</v>
      </c>
      <c r="D278" s="27" t="s">
        <v>683</v>
      </c>
      <c r="E278" s="28" t="s">
        <v>57</v>
      </c>
      <c r="F278" s="26" t="s">
        <v>57</v>
      </c>
      <c r="G278" s="26" t="s">
        <v>135</v>
      </c>
      <c r="H278" s="28" t="n">
        <v>50</v>
      </c>
      <c r="I278" s="29" t="n">
        <v>0</v>
      </c>
      <c r="J278" s="29" t="n">
        <f aca="false">ROUND(H278*I278,2)</f>
        <v>0</v>
      </c>
      <c r="K278" s="29" t="n">
        <f aca="false">ROUND(J278*'Основания и цены'!$B$4,2)</f>
        <v>0</v>
      </c>
      <c r="L278" s="29" t="n">
        <f aca="false">Материалы!G137</f>
        <v>159.24</v>
      </c>
      <c r="M278" s="29" t="n">
        <f aca="false">ROUND(H278*L278,2)</f>
        <v>7962</v>
      </c>
      <c r="N278" s="29" t="n">
        <v>0</v>
      </c>
      <c r="O278" s="29" t="n">
        <f aca="false">ROUND(H278*N278,2)</f>
        <v>0</v>
      </c>
      <c r="P278" s="29" t="n">
        <v>0</v>
      </c>
      <c r="Q278" s="29" t="n">
        <f aca="false">ROUND(H278*P278,2)</f>
        <v>0</v>
      </c>
      <c r="R278" s="29" t="n">
        <f aca="false">ROUND(J278+K278+M278+O278+Q278,2)</f>
        <v>7962</v>
      </c>
      <c r="S278" s="26" t="s">
        <v>59</v>
      </c>
      <c r="T278" s="29" t="n">
        <f aca="false">IF(S278="УЧТЕНО",R278,0)</f>
        <v>7962</v>
      </c>
      <c r="U278" s="27" t="s">
        <v>684</v>
      </c>
    </row>
    <row r="279" customFormat="false" ht="30.75" hidden="false" customHeight="true" outlineLevel="0" collapsed="false">
      <c r="A279" s="26" t="n">
        <v>5</v>
      </c>
      <c r="B279" s="26" t="s">
        <v>54</v>
      </c>
      <c r="C279" s="26" t="s">
        <v>316</v>
      </c>
      <c r="D279" s="27" t="s">
        <v>685</v>
      </c>
      <c r="E279" s="28" t="s">
        <v>57</v>
      </c>
      <c r="F279" s="26" t="s">
        <v>57</v>
      </c>
      <c r="G279" s="26" t="s">
        <v>190</v>
      </c>
      <c r="H279" s="28" t="n">
        <v>12</v>
      </c>
      <c r="I279" s="29" t="n">
        <v>0</v>
      </c>
      <c r="J279" s="29" t="n">
        <f aca="false">ROUND(H279*I279,2)</f>
        <v>0</v>
      </c>
      <c r="K279" s="29" t="n">
        <f aca="false">ROUND(J279*'Основания и цены'!$B$4,2)</f>
        <v>0</v>
      </c>
      <c r="L279" s="29" t="n">
        <f aca="false">Материалы!G138</f>
        <v>513.84</v>
      </c>
      <c r="M279" s="29" t="n">
        <f aca="false">ROUND(H279*L279,2)</f>
        <v>6166.08</v>
      </c>
      <c r="N279" s="29" t="n">
        <v>0</v>
      </c>
      <c r="O279" s="29" t="n">
        <f aca="false">ROUND(H279*N279,2)</f>
        <v>0</v>
      </c>
      <c r="P279" s="29" t="n">
        <v>0</v>
      </c>
      <c r="Q279" s="29" t="n">
        <f aca="false">ROUND(H279*P279,2)</f>
        <v>0</v>
      </c>
      <c r="R279" s="29" t="n">
        <f aca="false">ROUND(J279+K279+M279+O279+Q279,2)</f>
        <v>6166.08</v>
      </c>
      <c r="S279" s="26" t="s">
        <v>59</v>
      </c>
      <c r="T279" s="29" t="n">
        <f aca="false">IF(S279="УЧТЕНО",R279,0)</f>
        <v>6166.08</v>
      </c>
      <c r="U279" s="27" t="s">
        <v>686</v>
      </c>
    </row>
    <row r="280" customFormat="false" ht="30.75" hidden="false" customHeight="true" outlineLevel="0" collapsed="false">
      <c r="A280" s="26" t="n">
        <v>5</v>
      </c>
      <c r="B280" s="26" t="s">
        <v>54</v>
      </c>
      <c r="C280" s="26" t="s">
        <v>319</v>
      </c>
      <c r="D280" s="27" t="s">
        <v>687</v>
      </c>
      <c r="E280" s="28" t="s">
        <v>57</v>
      </c>
      <c r="F280" s="26" t="s">
        <v>57</v>
      </c>
      <c r="G280" s="26" t="s">
        <v>190</v>
      </c>
      <c r="H280" s="28" t="n">
        <v>3</v>
      </c>
      <c r="I280" s="29" t="n">
        <v>0</v>
      </c>
      <c r="J280" s="29" t="n">
        <f aca="false">ROUND(H280*I280,2)</f>
        <v>0</v>
      </c>
      <c r="K280" s="29" t="n">
        <f aca="false">ROUND(J280*'Основания и цены'!$B$4,2)</f>
        <v>0</v>
      </c>
      <c r="L280" s="29" t="n">
        <f aca="false">Материалы!G139</f>
        <v>303</v>
      </c>
      <c r="M280" s="29" t="n">
        <f aca="false">ROUND(H280*L280,2)</f>
        <v>909</v>
      </c>
      <c r="N280" s="29" t="n">
        <v>0</v>
      </c>
      <c r="O280" s="29" t="n">
        <f aca="false">ROUND(H280*N280,2)</f>
        <v>0</v>
      </c>
      <c r="P280" s="29" t="n">
        <v>0</v>
      </c>
      <c r="Q280" s="29" t="n">
        <f aca="false">ROUND(H280*P280,2)</f>
        <v>0</v>
      </c>
      <c r="R280" s="29" t="n">
        <f aca="false">ROUND(J280+K280+M280+O280+Q280,2)</f>
        <v>909</v>
      </c>
      <c r="S280" s="26" t="s">
        <v>59</v>
      </c>
      <c r="T280" s="29" t="n">
        <f aca="false">IF(S280="УЧТЕНО",R280,0)</f>
        <v>909</v>
      </c>
      <c r="U280" s="27" t="s">
        <v>688</v>
      </c>
    </row>
    <row r="281" customFormat="false" ht="30.75" hidden="false" customHeight="true" outlineLevel="0" collapsed="false">
      <c r="A281" s="26" t="n">
        <v>5</v>
      </c>
      <c r="B281" s="26" t="s">
        <v>54</v>
      </c>
      <c r="C281" s="26" t="s">
        <v>322</v>
      </c>
      <c r="D281" s="27" t="s">
        <v>689</v>
      </c>
      <c r="E281" s="28" t="s">
        <v>57</v>
      </c>
      <c r="F281" s="26" t="s">
        <v>57</v>
      </c>
      <c r="G281" s="26" t="s">
        <v>180</v>
      </c>
      <c r="H281" s="28" t="n">
        <v>1748</v>
      </c>
      <c r="I281" s="29" t="n">
        <v>0</v>
      </c>
      <c r="J281" s="29" t="n">
        <f aca="false">ROUND(H281*I281,2)</f>
        <v>0</v>
      </c>
      <c r="K281" s="29" t="n">
        <f aca="false">ROUND(J281*'Основания и цены'!$B$4,2)</f>
        <v>0</v>
      </c>
      <c r="L281" s="29" t="n">
        <f aca="false">Материалы!G140</f>
        <v>339.07</v>
      </c>
      <c r="M281" s="29" t="n">
        <f aca="false">ROUND(H281*L281,2)</f>
        <v>592694.36</v>
      </c>
      <c r="N281" s="29" t="n">
        <v>0</v>
      </c>
      <c r="O281" s="29" t="n">
        <f aca="false">ROUND(H281*N281,2)</f>
        <v>0</v>
      </c>
      <c r="P281" s="29" t="n">
        <v>0</v>
      </c>
      <c r="Q281" s="29" t="n">
        <f aca="false">ROUND(H281*P281,2)</f>
        <v>0</v>
      </c>
      <c r="R281" s="29" t="n">
        <f aca="false">ROUND(J281+K281+M281+O281+Q281,2)</f>
        <v>592694.36</v>
      </c>
      <c r="S281" s="26" t="s">
        <v>59</v>
      </c>
      <c r="T281" s="29" t="n">
        <f aca="false">IF(S281="УЧТЕНО",R281,0)</f>
        <v>592694.36</v>
      </c>
      <c r="U281" s="27" t="s">
        <v>690</v>
      </c>
    </row>
    <row r="282" customFormat="false" ht="30.75" hidden="false" customHeight="true" outlineLevel="0" collapsed="false">
      <c r="A282" s="26" t="n">
        <v>5</v>
      </c>
      <c r="B282" s="26" t="s">
        <v>54</v>
      </c>
      <c r="C282" s="26" t="s">
        <v>325</v>
      </c>
      <c r="D282" s="27" t="s">
        <v>691</v>
      </c>
      <c r="E282" s="28" t="s">
        <v>57</v>
      </c>
      <c r="F282" s="26" t="s">
        <v>57</v>
      </c>
      <c r="G282" s="26" t="s">
        <v>190</v>
      </c>
      <c r="H282" s="28" t="n">
        <v>225</v>
      </c>
      <c r="I282" s="29" t="n">
        <v>0</v>
      </c>
      <c r="J282" s="29" t="n">
        <f aca="false">ROUND(H282*I282,2)</f>
        <v>0</v>
      </c>
      <c r="K282" s="29" t="n">
        <f aca="false">ROUND(J282*'Основания и цены'!$B$4,2)</f>
        <v>0</v>
      </c>
      <c r="L282" s="29" t="n">
        <f aca="false">Материалы!G141</f>
        <v>59.75</v>
      </c>
      <c r="M282" s="29" t="n">
        <f aca="false">ROUND(H282*L282,2)</f>
        <v>13443.75</v>
      </c>
      <c r="N282" s="29" t="n">
        <v>0</v>
      </c>
      <c r="O282" s="29" t="n">
        <f aca="false">ROUND(H282*N282,2)</f>
        <v>0</v>
      </c>
      <c r="P282" s="29" t="n">
        <v>0</v>
      </c>
      <c r="Q282" s="29" t="n">
        <f aca="false">ROUND(H282*P282,2)</f>
        <v>0</v>
      </c>
      <c r="R282" s="29" t="n">
        <f aca="false">ROUND(J282+K282+M282+O282+Q282,2)</f>
        <v>13443.75</v>
      </c>
      <c r="S282" s="26" t="s">
        <v>59</v>
      </c>
      <c r="T282" s="29" t="n">
        <f aca="false">IF(S282="УЧТЕНО",R282,0)</f>
        <v>13443.75</v>
      </c>
      <c r="U282" s="27" t="s">
        <v>692</v>
      </c>
    </row>
    <row r="283" customFormat="false" ht="30.75" hidden="false" customHeight="true" outlineLevel="0" collapsed="false">
      <c r="A283" s="26" t="n">
        <v>5</v>
      </c>
      <c r="B283" s="26" t="s">
        <v>54</v>
      </c>
      <c r="C283" s="26" t="s">
        <v>329</v>
      </c>
      <c r="D283" s="27" t="s">
        <v>693</v>
      </c>
      <c r="E283" s="28" t="s">
        <v>57</v>
      </c>
      <c r="F283" s="26" t="s">
        <v>57</v>
      </c>
      <c r="G283" s="26" t="s">
        <v>190</v>
      </c>
      <c r="H283" s="28" t="n">
        <v>178</v>
      </c>
      <c r="I283" s="29" t="n">
        <v>0</v>
      </c>
      <c r="J283" s="29" t="n">
        <f aca="false">ROUND(H283*I283,2)</f>
        <v>0</v>
      </c>
      <c r="K283" s="29" t="n">
        <f aca="false">ROUND(J283*'Основания и цены'!$B$4,2)</f>
        <v>0</v>
      </c>
      <c r="L283" s="29" t="n">
        <f aca="false">Материалы!G142</f>
        <v>166.03</v>
      </c>
      <c r="M283" s="29" t="n">
        <f aca="false">ROUND(H283*L283,2)</f>
        <v>29553.34</v>
      </c>
      <c r="N283" s="29" t="n">
        <v>0</v>
      </c>
      <c r="O283" s="29" t="n">
        <f aca="false">ROUND(H283*N283,2)</f>
        <v>0</v>
      </c>
      <c r="P283" s="29" t="n">
        <v>0</v>
      </c>
      <c r="Q283" s="29" t="n">
        <f aca="false">ROUND(H283*P283,2)</f>
        <v>0</v>
      </c>
      <c r="R283" s="29" t="n">
        <f aca="false">ROUND(J283+K283+M283+O283+Q283,2)</f>
        <v>29553.34</v>
      </c>
      <c r="S283" s="26" t="s">
        <v>59</v>
      </c>
      <c r="T283" s="29" t="n">
        <f aca="false">IF(S283="УЧТЕНО",R283,0)</f>
        <v>29553.34</v>
      </c>
      <c r="U283" s="27" t="s">
        <v>694</v>
      </c>
    </row>
    <row r="284" customFormat="false" ht="30.75" hidden="false" customHeight="true" outlineLevel="0" collapsed="false">
      <c r="A284" s="26" t="n">
        <v>5</v>
      </c>
      <c r="B284" s="26" t="s">
        <v>54</v>
      </c>
      <c r="C284" s="26" t="s">
        <v>332</v>
      </c>
      <c r="D284" s="27" t="s">
        <v>695</v>
      </c>
      <c r="E284" s="28" t="s">
        <v>57</v>
      </c>
      <c r="F284" s="26" t="s">
        <v>57</v>
      </c>
      <c r="G284" s="26" t="s">
        <v>677</v>
      </c>
      <c r="H284" s="28" t="n">
        <v>9</v>
      </c>
      <c r="I284" s="29" t="n">
        <v>0</v>
      </c>
      <c r="J284" s="29" t="n">
        <f aca="false">ROUND(H284*I284,2)</f>
        <v>0</v>
      </c>
      <c r="K284" s="29" t="n">
        <f aca="false">ROUND(J284*'Основания и цены'!$B$4,2)</f>
        <v>0</v>
      </c>
      <c r="L284" s="29" t="n">
        <f aca="false">Материалы!G143</f>
        <v>886.8</v>
      </c>
      <c r="M284" s="29" t="n">
        <f aca="false">ROUND(H284*L284,2)</f>
        <v>7981.2</v>
      </c>
      <c r="N284" s="29" t="n">
        <v>0</v>
      </c>
      <c r="O284" s="29" t="n">
        <f aca="false">ROUND(H284*N284,2)</f>
        <v>0</v>
      </c>
      <c r="P284" s="29" t="n">
        <v>0</v>
      </c>
      <c r="Q284" s="29" t="n">
        <f aca="false">ROUND(H284*P284,2)</f>
        <v>0</v>
      </c>
      <c r="R284" s="29" t="n">
        <f aca="false">ROUND(J284+K284+M284+O284+Q284,2)</f>
        <v>7981.2</v>
      </c>
      <c r="S284" s="26" t="s">
        <v>59</v>
      </c>
      <c r="T284" s="29" t="n">
        <f aca="false">IF(S284="УЧТЕНО",R284,0)</f>
        <v>7981.2</v>
      </c>
      <c r="U284" s="27" t="s">
        <v>696</v>
      </c>
    </row>
    <row r="285" customFormat="false" ht="21.75" hidden="false" customHeight="true" outlineLevel="0" collapsed="false">
      <c r="A285" s="26" t="n">
        <v>5</v>
      </c>
      <c r="B285" s="26" t="s">
        <v>54</v>
      </c>
      <c r="C285" s="26" t="s">
        <v>335</v>
      </c>
      <c r="D285" s="27" t="s">
        <v>697</v>
      </c>
      <c r="E285" s="28" t="s">
        <v>57</v>
      </c>
      <c r="F285" s="26" t="s">
        <v>57</v>
      </c>
      <c r="G285" s="26" t="s">
        <v>180</v>
      </c>
      <c r="H285" s="28" t="n">
        <v>40</v>
      </c>
      <c r="I285" s="29" t="n">
        <v>0</v>
      </c>
      <c r="J285" s="29" t="n">
        <f aca="false">ROUND(H285*I285,2)</f>
        <v>0</v>
      </c>
      <c r="K285" s="29" t="n">
        <f aca="false">ROUND(J285*'Основания и цены'!$B$4,2)</f>
        <v>0</v>
      </c>
      <c r="L285" s="29" t="n">
        <f aca="false">Материалы!G144</f>
        <v>585.6</v>
      </c>
      <c r="M285" s="29" t="n">
        <f aca="false">ROUND(H285*L285,2)</f>
        <v>23424</v>
      </c>
      <c r="N285" s="29" t="n">
        <v>0</v>
      </c>
      <c r="O285" s="29" t="n">
        <f aca="false">ROUND(H285*N285,2)</f>
        <v>0</v>
      </c>
      <c r="P285" s="29" t="n">
        <v>0</v>
      </c>
      <c r="Q285" s="29" t="n">
        <f aca="false">ROUND(H285*P285,2)</f>
        <v>0</v>
      </c>
      <c r="R285" s="29" t="n">
        <f aca="false">ROUND(J285+K285+M285+O285+Q285,2)</f>
        <v>23424</v>
      </c>
      <c r="S285" s="26" t="s">
        <v>59</v>
      </c>
      <c r="T285" s="29" t="n">
        <f aca="false">IF(S285="УЧТЕНО",R285,0)</f>
        <v>23424</v>
      </c>
      <c r="U285" s="27" t="s">
        <v>698</v>
      </c>
    </row>
    <row r="286" customFormat="false" ht="30.75" hidden="false" customHeight="true" outlineLevel="0" collapsed="false">
      <c r="A286" s="26" t="n">
        <v>5</v>
      </c>
      <c r="B286" s="26" t="s">
        <v>54</v>
      </c>
      <c r="C286" s="26" t="s">
        <v>338</v>
      </c>
      <c r="D286" s="27" t="s">
        <v>699</v>
      </c>
      <c r="E286" s="28" t="s">
        <v>57</v>
      </c>
      <c r="F286" s="26" t="s">
        <v>57</v>
      </c>
      <c r="G286" s="26" t="s">
        <v>180</v>
      </c>
      <c r="H286" s="28" t="n">
        <v>12</v>
      </c>
      <c r="I286" s="29" t="n">
        <v>0</v>
      </c>
      <c r="J286" s="29" t="n">
        <f aca="false">ROUND(H286*I286,2)</f>
        <v>0</v>
      </c>
      <c r="K286" s="29" t="n">
        <f aca="false">ROUND(J286*'Основания и цены'!$B$4,2)</f>
        <v>0</v>
      </c>
      <c r="L286" s="29" t="n">
        <f aca="false">Материалы!G145</f>
        <v>636</v>
      </c>
      <c r="M286" s="29" t="n">
        <f aca="false">ROUND(H286*L286,2)</f>
        <v>7632</v>
      </c>
      <c r="N286" s="29" t="n">
        <v>0</v>
      </c>
      <c r="O286" s="29" t="n">
        <f aca="false">ROUND(H286*N286,2)</f>
        <v>0</v>
      </c>
      <c r="P286" s="29" t="n">
        <v>0</v>
      </c>
      <c r="Q286" s="29" t="n">
        <f aca="false">ROUND(H286*P286,2)</f>
        <v>0</v>
      </c>
      <c r="R286" s="29" t="n">
        <f aca="false">ROUND(J286+K286+M286+O286+Q286,2)</f>
        <v>7632</v>
      </c>
      <c r="S286" s="26" t="s">
        <v>59</v>
      </c>
      <c r="T286" s="29" t="n">
        <f aca="false">IF(S286="УЧТЕНО",R286,0)</f>
        <v>7632</v>
      </c>
      <c r="U286" s="27" t="s">
        <v>700</v>
      </c>
    </row>
    <row r="287" customFormat="false" ht="30.75" hidden="false" customHeight="true" outlineLevel="0" collapsed="false">
      <c r="A287" s="26" t="n">
        <v>5</v>
      </c>
      <c r="B287" s="26" t="s">
        <v>54</v>
      </c>
      <c r="C287" s="26" t="s">
        <v>341</v>
      </c>
      <c r="D287" s="27" t="s">
        <v>701</v>
      </c>
      <c r="E287" s="28" t="s">
        <v>57</v>
      </c>
      <c r="F287" s="26" t="s">
        <v>57</v>
      </c>
      <c r="G287" s="26" t="s">
        <v>677</v>
      </c>
      <c r="H287" s="28" t="n">
        <v>1</v>
      </c>
      <c r="I287" s="29" t="n">
        <v>0</v>
      </c>
      <c r="J287" s="29" t="n">
        <f aca="false">ROUND(H287*I287,2)</f>
        <v>0</v>
      </c>
      <c r="K287" s="29" t="n">
        <f aca="false">ROUND(J287*'Основания и цены'!$B$4,2)</f>
        <v>0</v>
      </c>
      <c r="L287" s="29" t="n">
        <f aca="false">Материалы!G146</f>
        <v>951.46</v>
      </c>
      <c r="M287" s="29" t="n">
        <f aca="false">ROUND(H287*L287,2)</f>
        <v>951.46</v>
      </c>
      <c r="N287" s="29" t="n">
        <v>0</v>
      </c>
      <c r="O287" s="29" t="n">
        <f aca="false">ROUND(H287*N287,2)</f>
        <v>0</v>
      </c>
      <c r="P287" s="29" t="n">
        <v>0</v>
      </c>
      <c r="Q287" s="29" t="n">
        <f aca="false">ROUND(H287*P287,2)</f>
        <v>0</v>
      </c>
      <c r="R287" s="29" t="n">
        <f aca="false">ROUND(J287+K287+M287+O287+Q287,2)</f>
        <v>951.46</v>
      </c>
      <c r="S287" s="26" t="s">
        <v>59</v>
      </c>
      <c r="T287" s="29" t="n">
        <f aca="false">IF(S287="УЧТЕНО",R287,0)</f>
        <v>951.46</v>
      </c>
      <c r="U287" s="27" t="s">
        <v>702</v>
      </c>
    </row>
    <row r="288" customFormat="false" ht="30.75" hidden="false" customHeight="true" outlineLevel="0" collapsed="false">
      <c r="A288" s="26" t="n">
        <v>5</v>
      </c>
      <c r="B288" s="26" t="s">
        <v>54</v>
      </c>
      <c r="C288" s="26" t="s">
        <v>344</v>
      </c>
      <c r="D288" s="27" t="s">
        <v>703</v>
      </c>
      <c r="E288" s="28" t="s">
        <v>57</v>
      </c>
      <c r="F288" s="26" t="s">
        <v>57</v>
      </c>
      <c r="G288" s="26" t="s">
        <v>677</v>
      </c>
      <c r="H288" s="28" t="n">
        <v>20</v>
      </c>
      <c r="I288" s="29" t="n">
        <v>0</v>
      </c>
      <c r="J288" s="29" t="n">
        <f aca="false">ROUND(H288*I288,2)</f>
        <v>0</v>
      </c>
      <c r="K288" s="29" t="n">
        <f aca="false">ROUND(J288*'Основания и цены'!$B$4,2)</f>
        <v>0</v>
      </c>
      <c r="L288" s="29" t="n">
        <f aca="false">Материалы!G147</f>
        <v>161.28</v>
      </c>
      <c r="M288" s="29" t="n">
        <f aca="false">ROUND(H288*L288,2)</f>
        <v>3225.6</v>
      </c>
      <c r="N288" s="29" t="n">
        <v>0</v>
      </c>
      <c r="O288" s="29" t="n">
        <f aca="false">ROUND(H288*N288,2)</f>
        <v>0</v>
      </c>
      <c r="P288" s="29" t="n">
        <v>0</v>
      </c>
      <c r="Q288" s="29" t="n">
        <f aca="false">ROUND(H288*P288,2)</f>
        <v>0</v>
      </c>
      <c r="R288" s="29" t="n">
        <f aca="false">ROUND(J288+K288+M288+O288+Q288,2)</f>
        <v>3225.6</v>
      </c>
      <c r="S288" s="26" t="s">
        <v>59</v>
      </c>
      <c r="T288" s="29" t="n">
        <f aca="false">IF(S288="УЧТЕНО",R288,0)</f>
        <v>3225.6</v>
      </c>
      <c r="U288" s="27" t="s">
        <v>704</v>
      </c>
    </row>
    <row r="289" customFormat="false" ht="21.75" hidden="false" customHeight="true" outlineLevel="0" collapsed="false">
      <c r="A289" s="26" t="n">
        <v>5</v>
      </c>
      <c r="B289" s="26" t="s">
        <v>54</v>
      </c>
      <c r="C289" s="26" t="s">
        <v>347</v>
      </c>
      <c r="D289" s="27" t="s">
        <v>211</v>
      </c>
      <c r="E289" s="28" t="s">
        <v>57</v>
      </c>
      <c r="F289" s="26" t="s">
        <v>57</v>
      </c>
      <c r="G289" s="26" t="s">
        <v>212</v>
      </c>
      <c r="H289" s="28" t="n">
        <v>1</v>
      </c>
      <c r="I289" s="29" t="n">
        <v>0</v>
      </c>
      <c r="J289" s="29" t="n">
        <f aca="false">ROUND(H289*I289,2)</f>
        <v>0</v>
      </c>
      <c r="K289" s="29" t="n">
        <f aca="false">ROUND(J289*'Основания и цены'!$B$4,2)</f>
        <v>0</v>
      </c>
      <c r="L289" s="29" t="n">
        <f aca="false">Материалы!G148</f>
        <v>15410.3</v>
      </c>
      <c r="M289" s="29" t="n">
        <f aca="false">ROUND(H289*L289,2)</f>
        <v>15410.3</v>
      </c>
      <c r="N289" s="29" t="n">
        <v>0</v>
      </c>
      <c r="O289" s="29" t="n">
        <f aca="false">ROUND(H289*N289,2)</f>
        <v>0</v>
      </c>
      <c r="P289" s="29" t="n">
        <v>0</v>
      </c>
      <c r="Q289" s="29" t="n">
        <f aca="false">ROUND(H289*P289,2)</f>
        <v>0</v>
      </c>
      <c r="R289" s="29" t="n">
        <f aca="false">ROUND(J289+K289+M289+O289+Q289,2)</f>
        <v>15410.3</v>
      </c>
      <c r="S289" s="26" t="s">
        <v>59</v>
      </c>
      <c r="T289" s="29" t="n">
        <f aca="false">IF(S289="УЧТЕНО",R289,0)</f>
        <v>15410.3</v>
      </c>
      <c r="U289" s="27" t="s">
        <v>705</v>
      </c>
    </row>
    <row r="290" customFormat="false" ht="21.75" hidden="false" customHeight="true" outlineLevel="0" collapsed="false">
      <c r="A290" s="26" t="n">
        <v>5</v>
      </c>
      <c r="B290" s="26" t="s">
        <v>54</v>
      </c>
      <c r="C290" s="26" t="s">
        <v>351</v>
      </c>
      <c r="D290" s="27" t="s">
        <v>706</v>
      </c>
      <c r="E290" s="28" t="s">
        <v>57</v>
      </c>
      <c r="F290" s="26" t="s">
        <v>57</v>
      </c>
      <c r="G290" s="26" t="s">
        <v>63</v>
      </c>
      <c r="H290" s="28" t="n">
        <v>1</v>
      </c>
      <c r="I290" s="29" t="n">
        <v>0</v>
      </c>
      <c r="J290" s="29" t="n">
        <f aca="false">ROUND(H290*I290,2)</f>
        <v>0</v>
      </c>
      <c r="K290" s="29" t="n">
        <f aca="false">ROUND(J290*'Основания и цены'!$B$4,2)</f>
        <v>0</v>
      </c>
      <c r="L290" s="29" t="n">
        <v>0</v>
      </c>
      <c r="M290" s="29" t="n">
        <f aca="false">ROUND(H290*L290,2)</f>
        <v>0</v>
      </c>
      <c r="N290" s="29" t="n">
        <v>0</v>
      </c>
      <c r="O290" s="29" t="n">
        <f aca="false">ROUND(H290*N290,2)</f>
        <v>0</v>
      </c>
      <c r="P290" s="29" t="n">
        <v>24000</v>
      </c>
      <c r="Q290" s="29" t="n">
        <f aca="false">ROUND(H290*P290,2)</f>
        <v>24000</v>
      </c>
      <c r="R290" s="29" t="n">
        <f aca="false">ROUND(J290+K290+M290+O290+Q290,2)</f>
        <v>24000</v>
      </c>
      <c r="S290" s="26" t="s">
        <v>59</v>
      </c>
      <c r="T290" s="29" t="n">
        <f aca="false">IF(S290="УЧТЕНО",R290,0)</f>
        <v>24000</v>
      </c>
      <c r="U290" s="27" t="s">
        <v>707</v>
      </c>
    </row>
    <row r="291" customFormat="false" ht="21.75" hidden="false" customHeight="true" outlineLevel="0" collapsed="false">
      <c r="A291" s="26" t="n">
        <v>5</v>
      </c>
      <c r="B291" s="26" t="s">
        <v>54</v>
      </c>
      <c r="C291" s="26" t="s">
        <v>354</v>
      </c>
      <c r="D291" s="27" t="s">
        <v>708</v>
      </c>
      <c r="E291" s="28" t="s">
        <v>57</v>
      </c>
      <c r="F291" s="26" t="s">
        <v>57</v>
      </c>
      <c r="G291" s="26" t="s">
        <v>63</v>
      </c>
      <c r="H291" s="28" t="n">
        <v>1</v>
      </c>
      <c r="I291" s="29" t="n">
        <v>0</v>
      </c>
      <c r="J291" s="29" t="n">
        <f aca="false">ROUND(H291*I291,2)</f>
        <v>0</v>
      </c>
      <c r="K291" s="29" t="n">
        <f aca="false">ROUND(J291*'Основания и цены'!$B$4,2)</f>
        <v>0</v>
      </c>
      <c r="L291" s="29" t="n">
        <v>0</v>
      </c>
      <c r="M291" s="29" t="n">
        <f aca="false">ROUND(H291*L291,2)</f>
        <v>0</v>
      </c>
      <c r="N291" s="29" t="n">
        <v>0</v>
      </c>
      <c r="O291" s="29" t="n">
        <f aca="false">ROUND(H291*N291,2)</f>
        <v>0</v>
      </c>
      <c r="P291" s="29" t="n">
        <v>24000</v>
      </c>
      <c r="Q291" s="29" t="n">
        <f aca="false">ROUND(H291*P291,2)</f>
        <v>24000</v>
      </c>
      <c r="R291" s="29" t="n">
        <f aca="false">ROUND(J291+K291+M291+O291+Q291,2)</f>
        <v>24000</v>
      </c>
      <c r="S291" s="26" t="s">
        <v>59</v>
      </c>
      <c r="T291" s="29" t="n">
        <f aca="false">IF(S291="УЧТЕНО",R291,0)</f>
        <v>24000</v>
      </c>
      <c r="U291" s="27" t="s">
        <v>709</v>
      </c>
    </row>
    <row r="292" customFormat="false" ht="15" hidden="false" customHeight="true" outlineLevel="0" collapsed="false">
      <c r="A292" s="30"/>
      <c r="B292" s="30"/>
      <c r="C292" s="30"/>
      <c r="D292" s="30" t="s">
        <v>71</v>
      </c>
      <c r="E292" s="30"/>
      <c r="F292" s="30"/>
      <c r="G292" s="30"/>
      <c r="H292" s="30"/>
      <c r="I292" s="30"/>
      <c r="J292" s="31" t="n">
        <f aca="false">ROUND(SUMIF($S$268:$S$291,"УЧТЕНО",$J$268:$J$291),2)</f>
        <v>217126.3</v>
      </c>
      <c r="K292" s="31" t="n">
        <f aca="false">ROUND(SUMIF($S$268:$S$291,"УЧТЕНО",$K$268:$K$291),2)</f>
        <v>65137.89</v>
      </c>
      <c r="L292" s="30"/>
      <c r="M292" s="31" t="n">
        <f aca="false">ROUND(SUMIF($S$268:$S$291,"УЧТЕНО",$M$268:$M$291),2)</f>
        <v>785925.1</v>
      </c>
      <c r="N292" s="30"/>
      <c r="O292" s="31" t="n">
        <f aca="false">ROUND(SUMIF($S$268:$S$291,"УЧТЕНО",$O$268:$O$291),2)</f>
        <v>0</v>
      </c>
      <c r="P292" s="30"/>
      <c r="Q292" s="31" t="n">
        <f aca="false">ROUND(SUMIF($S$268:$S$291,"УЧТЕНО",$Q$268:$Q$291),2)</f>
        <v>48000</v>
      </c>
      <c r="R292" s="31" t="n">
        <f aca="false">ROUND(J292+K292+M292+O292+Q292,2)</f>
        <v>1116189.29</v>
      </c>
      <c r="S292" s="30" t="s">
        <v>72</v>
      </c>
      <c r="T292" s="31" t="n">
        <f aca="false">R292</f>
        <v>1116189.29</v>
      </c>
      <c r="U292" s="30"/>
    </row>
    <row r="293" customFormat="false" ht="15" hidden="false" customHeight="true" outlineLevel="0" collapsed="false">
      <c r="A293" s="36"/>
      <c r="B293" s="36"/>
      <c r="C293" s="36"/>
      <c r="D293" s="36" t="s">
        <v>710</v>
      </c>
      <c r="E293" s="36"/>
      <c r="F293" s="36"/>
      <c r="G293" s="36"/>
      <c r="H293" s="36"/>
      <c r="I293" s="36"/>
      <c r="J293" s="37" t="n">
        <f aca="false">ROUND(SUM(J292),2)</f>
        <v>217126.3</v>
      </c>
      <c r="K293" s="37" t="n">
        <f aca="false">ROUND(SUM(K292),2)</f>
        <v>65137.89</v>
      </c>
      <c r="L293" s="36"/>
      <c r="M293" s="37" t="n">
        <f aca="false">ROUND(SUM(M292),2)</f>
        <v>785925.1</v>
      </c>
      <c r="N293" s="36"/>
      <c r="O293" s="37" t="n">
        <f aca="false">ROUND(SUM(O292),2)</f>
        <v>0</v>
      </c>
      <c r="P293" s="36"/>
      <c r="Q293" s="37" t="n">
        <f aca="false">ROUND(SUM(Q292),2)</f>
        <v>48000</v>
      </c>
      <c r="R293" s="37" t="n">
        <f aca="false">ROUND(SUM(R292),2)</f>
        <v>1116189.29</v>
      </c>
      <c r="S293" s="36" t="s">
        <v>284</v>
      </c>
      <c r="T293" s="37" t="n">
        <f aca="false">ROUND(SUM(T292),2)</f>
        <v>1116189.29</v>
      </c>
      <c r="U293" s="36"/>
    </row>
    <row r="294" customFormat="false" ht="15" hidden="false" customHeight="true" outlineLevel="0" collapsed="false">
      <c r="A294" s="38"/>
      <c r="B294" s="38"/>
      <c r="C294" s="38"/>
      <c r="D294" s="38" t="s">
        <v>711</v>
      </c>
      <c r="E294" s="38"/>
      <c r="F294" s="38"/>
      <c r="G294" s="38"/>
      <c r="H294" s="38"/>
      <c r="I294" s="38"/>
      <c r="J294" s="39" t="n">
        <f aca="false">ROUND(SUM(J84,J197,J252,J265,J293),2)</f>
        <v>6462433.41</v>
      </c>
      <c r="K294" s="39" t="n">
        <f aca="false">ROUND(SUM(K84,K197,K252,K265,K293),2)</f>
        <v>1938730.07</v>
      </c>
      <c r="L294" s="38"/>
      <c r="M294" s="39" t="n">
        <f aca="false">ROUND(SUM(M84,M197,M252,M265,M293),2)</f>
        <v>19868474.59</v>
      </c>
      <c r="N294" s="38"/>
      <c r="O294" s="39" t="n">
        <f aca="false">ROUND(SUM(O84,O197,O252,O265,O293),2)</f>
        <v>305640</v>
      </c>
      <c r="P294" s="38"/>
      <c r="Q294" s="39" t="n">
        <f aca="false">ROUND(SUM(Q84,Q197,Q252,Q265,Q293),2)</f>
        <v>1294178.4</v>
      </c>
      <c r="R294" s="39" t="n">
        <f aca="false">ROUND(SUM(R84,R197,R252,R265,R293),2)</f>
        <v>29869456.47</v>
      </c>
      <c r="S294" s="38" t="s">
        <v>712</v>
      </c>
      <c r="T294" s="39" t="n">
        <f aca="false">ROUND(SUM(T84,T197,T252,T265,T293),2)</f>
        <v>29869456.47</v>
      </c>
      <c r="U294" s="38"/>
    </row>
    <row r="295" customFormat="false" ht="15" hidden="false" customHeight="true" outlineLevel="0" collapsed="false">
      <c r="A295" s="40"/>
      <c r="B295" s="40"/>
      <c r="C295" s="40"/>
      <c r="D295" s="40" t="s">
        <v>713</v>
      </c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1" t="n">
        <f aca="false">ROUND(SUMIF($S$7:$S$291,"НЕ УЧТЕНО",$R$7:$R$291),2)</f>
        <v>87073.8</v>
      </c>
      <c r="S295" s="40" t="s">
        <v>172</v>
      </c>
      <c r="T295" s="40"/>
      <c r="U295" s="40"/>
    </row>
    <row r="296" customFormat="false" ht="33.75" hidden="false" customHeight="true" outlineLevel="0" collapsed="false"/>
    <row r="1048576" customFormat="false" ht="12.75" hidden="false" customHeight="true" outlineLevel="0" collapsed="false"/>
  </sheetData>
  <mergeCells count="32">
    <mergeCell ref="A1:F1"/>
    <mergeCell ref="G1:M1"/>
    <mergeCell ref="N1:S1"/>
    <mergeCell ref="T1:U1"/>
    <mergeCell ref="A2:F2"/>
    <mergeCell ref="G2:M2"/>
    <mergeCell ref="N2:S2"/>
    <mergeCell ref="T2:U2"/>
    <mergeCell ref="A3:F3"/>
    <mergeCell ref="G3:M3"/>
    <mergeCell ref="N3:S3"/>
    <mergeCell ref="T3:U3"/>
    <mergeCell ref="A5:F5"/>
    <mergeCell ref="A6:F6"/>
    <mergeCell ref="A12:F12"/>
    <mergeCell ref="A60:F60"/>
    <mergeCell ref="A76:F76"/>
    <mergeCell ref="A85:F85"/>
    <mergeCell ref="A86:F86"/>
    <mergeCell ref="A119:F119"/>
    <mergeCell ref="A136:F136"/>
    <mergeCell ref="A152:F152"/>
    <mergeCell ref="A173:F173"/>
    <mergeCell ref="A189:F189"/>
    <mergeCell ref="A198:F198"/>
    <mergeCell ref="A199:F199"/>
    <mergeCell ref="A211:F211"/>
    <mergeCell ref="A253:F253"/>
    <mergeCell ref="A254:F254"/>
    <mergeCell ref="A261:F261"/>
    <mergeCell ref="A266:F266"/>
    <mergeCell ref="A267:F267"/>
  </mergeCells>
  <conditionalFormatting sqref="Q5:Q291">
    <cfRule type="expression" priority="2" aboveAverage="0" equalAverage="0" bottom="0" percent="0" rank="0" text="" dxfId="0">
      <formula>$Q5="НЕ УЧТЕНО"</formula>
    </cfRule>
  </conditionalFormatting>
  <dataValidations count="1">
    <dataValidation allowBlank="false" errorStyle="stop" operator="between" showDropDown="false" showErrorMessage="false" showInputMessage="false" sqref="Q7:Q10 Q13:Q58 Q61:Q74 Q77:Q82 Q87:Q117 Q120:Q134 Q137:Q150 Q153:Q171 Q174:Q187 Q190:Q195 Q200:Q209 Q212:Q250 Q255:Q259 Q262:Q263 Q268:Q291" type="list">
      <formula1>"УЧТЕНО,НЕ УЧТЕНО"</formula1>
      <formula2>0</formula2>
    </dataValidation>
  </dataValidations>
  <printOptions headings="false" gridLines="false" gridLinesSet="true" horizontalCentered="false" verticalCentered="false"/>
  <pageMargins left="0.2" right="0.2" top="0.35" bottom="0.3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&amp;CЗаказ 8012&amp;RСтр.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6B78"/>
    <pageSetUpPr fitToPage="true"/>
  </sheetPr>
  <dimension ref="A1:L1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6" ySplit="5" topLeftCell="G138" activePane="bottomRight" state="frozen"/>
      <selection pane="topLeft" activeCell="A1" activeCellId="0" sqref="A1"/>
      <selection pane="topRight" activeCell="G1" activeCellId="0" sqref="G1"/>
      <selection pane="bottomLeft" activeCell="A138" activeCellId="0" sqref="A138"/>
      <selection pane="bottomRight" activeCell="D5" activeCellId="0" sqref="D5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7"/>
    <col collapsed="false" customWidth="true" hidden="false" outlineLevel="0" max="3" min="3" style="1" width="9"/>
    <col collapsed="false" customWidth="true" hidden="false" outlineLevel="0" max="4" min="4" style="1" width="58"/>
    <col collapsed="false" customWidth="true" hidden="false" outlineLevel="0" max="5" min="5" style="1" width="8"/>
    <col collapsed="false" customWidth="true" hidden="false" outlineLevel="0" max="6" min="6" style="1" width="11"/>
    <col collapsed="false" customWidth="true" hidden="false" outlineLevel="0" max="8" min="7" style="1" width="16"/>
    <col collapsed="false" customWidth="true" hidden="true" outlineLevel="0" max="9" min="9" style="1" width="20"/>
    <col collapsed="false" customWidth="true" hidden="true" outlineLevel="0" max="10" min="10" style="1" width="14"/>
    <col collapsed="false" customWidth="true" hidden="true" outlineLevel="0" max="11" min="11" style="1" width="48"/>
    <col collapsed="false" customWidth="true" hidden="true" outlineLevel="0" max="12" min="12" style="1" width="13"/>
  </cols>
  <sheetData>
    <row r="1" customFormat="false" ht="27.75" hidden="false" customHeight="true" outlineLevel="0" collapsed="false">
      <c r="A1" s="19" t="s">
        <v>714</v>
      </c>
      <c r="B1" s="19"/>
      <c r="C1" s="19"/>
      <c r="D1" s="19"/>
      <c r="E1" s="19" t="s">
        <v>715</v>
      </c>
      <c r="F1" s="19"/>
      <c r="G1" s="19"/>
      <c r="H1" s="19"/>
      <c r="I1" s="19"/>
      <c r="J1" s="19" t="s">
        <v>716</v>
      </c>
      <c r="K1" s="19"/>
    </row>
    <row r="2" customFormat="false" ht="30" hidden="false" customHeight="true" outlineLevel="0" collapsed="false">
      <c r="A2" s="42" t="s">
        <v>717</v>
      </c>
      <c r="B2" s="42"/>
      <c r="C2" s="42"/>
      <c r="D2" s="42"/>
      <c r="E2" s="42" t="s">
        <v>718</v>
      </c>
      <c r="F2" s="42"/>
      <c r="G2" s="42"/>
      <c r="H2" s="42"/>
      <c r="I2" s="42"/>
      <c r="J2" s="42"/>
      <c r="K2" s="42"/>
    </row>
    <row r="3" customFormat="false" ht="21.75" hidden="false" customHeight="true" outlineLevel="0" collapsed="false">
      <c r="A3" s="43" t="s">
        <v>719</v>
      </c>
      <c r="B3" s="43"/>
      <c r="C3" s="43"/>
      <c r="D3" s="43"/>
      <c r="E3" s="43" t="s">
        <v>720</v>
      </c>
      <c r="F3" s="43"/>
      <c r="G3" s="43"/>
      <c r="H3" s="43"/>
      <c r="I3" s="43"/>
      <c r="J3" s="43"/>
      <c r="K3" s="43"/>
    </row>
    <row r="5" customFormat="false" ht="48" hidden="false" customHeight="true" outlineLevel="0" collapsed="false">
      <c r="A5" s="5" t="s">
        <v>3</v>
      </c>
      <c r="B5" s="5" t="s">
        <v>33</v>
      </c>
      <c r="C5" s="5" t="s">
        <v>34</v>
      </c>
      <c r="D5" s="5" t="s">
        <v>721</v>
      </c>
      <c r="E5" s="5" t="s">
        <v>722</v>
      </c>
      <c r="F5" s="5" t="s">
        <v>723</v>
      </c>
      <c r="G5" s="5" t="s">
        <v>724</v>
      </c>
      <c r="H5" s="5" t="s">
        <v>725</v>
      </c>
      <c r="I5" s="5" t="s">
        <v>726</v>
      </c>
      <c r="J5" s="5" t="s">
        <v>727</v>
      </c>
      <c r="K5" s="5" t="s">
        <v>728</v>
      </c>
    </row>
    <row r="6" customFormat="false" ht="21" hidden="false" customHeight="true" outlineLevel="0" collapsed="false">
      <c r="A6" s="44" t="n">
        <v>1</v>
      </c>
      <c r="B6" s="44" t="s">
        <v>74</v>
      </c>
      <c r="C6" s="44" t="s">
        <v>101</v>
      </c>
      <c r="D6" s="45" t="s">
        <v>102</v>
      </c>
      <c r="E6" s="44" t="s">
        <v>80</v>
      </c>
      <c r="F6" s="46" t="n">
        <f aca="false">Смета!H21</f>
        <v>305</v>
      </c>
      <c r="G6" s="47" t="n">
        <v>142.08</v>
      </c>
      <c r="H6" s="47" t="n">
        <f aca="false">ROUND(F6*G6,2)</f>
        <v>43334.4</v>
      </c>
      <c r="I6" s="45" t="s">
        <v>729</v>
      </c>
      <c r="J6" s="44" t="str">
        <f aca="false">Смета!S21</f>
        <v>УЧТЕНО</v>
      </c>
      <c r="K6" s="45" t="s">
        <v>730</v>
      </c>
      <c r="L6" s="1" t="s">
        <v>59</v>
      </c>
    </row>
    <row r="7" customFormat="false" ht="21" hidden="false" customHeight="true" outlineLevel="0" collapsed="false">
      <c r="A7" s="44" t="n">
        <v>1</v>
      </c>
      <c r="B7" s="44" t="s">
        <v>74</v>
      </c>
      <c r="C7" s="44" t="s">
        <v>104</v>
      </c>
      <c r="D7" s="45" t="s">
        <v>105</v>
      </c>
      <c r="E7" s="44" t="s">
        <v>80</v>
      </c>
      <c r="F7" s="46" t="n">
        <f aca="false">Смета!H22</f>
        <v>42.5</v>
      </c>
      <c r="G7" s="47" t="n">
        <v>142.08</v>
      </c>
      <c r="H7" s="47" t="n">
        <f aca="false">ROUND(F7*G7,2)</f>
        <v>6038.4</v>
      </c>
      <c r="I7" s="45" t="s">
        <v>729</v>
      </c>
      <c r="J7" s="44" t="str">
        <f aca="false">Смета!S22</f>
        <v>УЧТЕНО</v>
      </c>
      <c r="K7" s="45" t="s">
        <v>731</v>
      </c>
      <c r="L7" s="1" t="s">
        <v>59</v>
      </c>
    </row>
    <row r="8" customFormat="false" ht="21" hidden="false" customHeight="true" outlineLevel="0" collapsed="false">
      <c r="A8" s="44" t="n">
        <v>1</v>
      </c>
      <c r="B8" s="44" t="s">
        <v>74</v>
      </c>
      <c r="C8" s="44" t="s">
        <v>107</v>
      </c>
      <c r="D8" s="45" t="s">
        <v>108</v>
      </c>
      <c r="E8" s="44" t="s">
        <v>80</v>
      </c>
      <c r="F8" s="46" t="n">
        <f aca="false">Смета!H23</f>
        <v>12.5</v>
      </c>
      <c r="G8" s="47" t="n">
        <v>142.08</v>
      </c>
      <c r="H8" s="47" t="n">
        <f aca="false">ROUND(F8*G8,2)</f>
        <v>1776</v>
      </c>
      <c r="I8" s="45" t="s">
        <v>729</v>
      </c>
      <c r="J8" s="44" t="str">
        <f aca="false">Смета!S23</f>
        <v>УЧТЕНО</v>
      </c>
      <c r="K8" s="45" t="s">
        <v>732</v>
      </c>
      <c r="L8" s="1" t="s">
        <v>59</v>
      </c>
    </row>
    <row r="9" customFormat="false" ht="27.75" hidden="false" customHeight="true" outlineLevel="0" collapsed="false">
      <c r="A9" s="44" t="n">
        <v>1</v>
      </c>
      <c r="B9" s="44" t="s">
        <v>74</v>
      </c>
      <c r="C9" s="44" t="s">
        <v>155</v>
      </c>
      <c r="D9" s="45" t="s">
        <v>156</v>
      </c>
      <c r="E9" s="44" t="s">
        <v>87</v>
      </c>
      <c r="F9" s="46" t="n">
        <f aca="false">Смета!H38</f>
        <v>0.95</v>
      </c>
      <c r="G9" s="47" t="n">
        <v>26400</v>
      </c>
      <c r="H9" s="47" t="n">
        <f aca="false">ROUND(F9*G9,2)</f>
        <v>25080</v>
      </c>
      <c r="I9" s="45" t="s">
        <v>733</v>
      </c>
      <c r="J9" s="44" t="str">
        <f aca="false">Смета!S38</f>
        <v>УЧТЕНО</v>
      </c>
      <c r="K9" s="45" t="s">
        <v>157</v>
      </c>
      <c r="L9" s="1" t="s">
        <v>59</v>
      </c>
    </row>
    <row r="10" customFormat="false" ht="21" hidden="false" customHeight="true" outlineLevel="0" collapsed="false">
      <c r="A10" s="44" t="n">
        <v>1</v>
      </c>
      <c r="B10" s="44" t="s">
        <v>74</v>
      </c>
      <c r="C10" s="44" t="s">
        <v>158</v>
      </c>
      <c r="D10" s="45" t="s">
        <v>159</v>
      </c>
      <c r="E10" s="44" t="s">
        <v>116</v>
      </c>
      <c r="F10" s="46" t="n">
        <f aca="false">Смета!H39</f>
        <v>7.4299</v>
      </c>
      <c r="G10" s="47" t="n">
        <v>72240</v>
      </c>
      <c r="H10" s="47" t="n">
        <f aca="false">ROUND(F10*G10,2)</f>
        <v>536735.98</v>
      </c>
      <c r="I10" s="45" t="s">
        <v>729</v>
      </c>
      <c r="J10" s="44" t="str">
        <f aca="false">Смета!S39</f>
        <v>УЧТЕНО</v>
      </c>
      <c r="K10" s="45" t="s">
        <v>734</v>
      </c>
      <c r="L10" s="1" t="s">
        <v>59</v>
      </c>
    </row>
    <row r="11" customFormat="false" ht="21" hidden="false" customHeight="true" outlineLevel="0" collapsed="false">
      <c r="A11" s="44" t="n">
        <v>1</v>
      </c>
      <c r="B11" s="44" t="s">
        <v>74</v>
      </c>
      <c r="C11" s="44" t="s">
        <v>161</v>
      </c>
      <c r="D11" s="45" t="s">
        <v>162</v>
      </c>
      <c r="E11" s="44" t="s">
        <v>116</v>
      </c>
      <c r="F11" s="46" t="n">
        <f aca="false">Смета!H40</f>
        <v>1.0116</v>
      </c>
      <c r="G11" s="47" t="n">
        <v>73680</v>
      </c>
      <c r="H11" s="47" t="n">
        <f aca="false">ROUND(F11*G11,2)</f>
        <v>74534.69</v>
      </c>
      <c r="I11" s="45" t="s">
        <v>729</v>
      </c>
      <c r="J11" s="44" t="str">
        <f aca="false">Смета!S40</f>
        <v>УЧТЕНО</v>
      </c>
      <c r="K11" s="45" t="s">
        <v>735</v>
      </c>
      <c r="L11" s="1" t="s">
        <v>59</v>
      </c>
    </row>
    <row r="12" customFormat="false" ht="21" hidden="false" customHeight="true" outlineLevel="0" collapsed="false">
      <c r="A12" s="44" t="n">
        <v>1</v>
      </c>
      <c r="B12" s="44" t="s">
        <v>74</v>
      </c>
      <c r="C12" s="44" t="s">
        <v>164</v>
      </c>
      <c r="D12" s="45" t="s">
        <v>165</v>
      </c>
      <c r="E12" s="44" t="s">
        <v>116</v>
      </c>
      <c r="F12" s="46" t="n">
        <f aca="false">Смета!H41</f>
        <v>0.0667</v>
      </c>
      <c r="G12" s="47" t="n">
        <v>74160</v>
      </c>
      <c r="H12" s="47" t="n">
        <f aca="false">ROUND(F12*G12,2)</f>
        <v>4946.47</v>
      </c>
      <c r="I12" s="45" t="s">
        <v>729</v>
      </c>
      <c r="J12" s="44" t="str">
        <f aca="false">Смета!S41</f>
        <v>УЧТЕНО</v>
      </c>
      <c r="K12" s="45" t="s">
        <v>736</v>
      </c>
      <c r="L12" s="1" t="s">
        <v>59</v>
      </c>
    </row>
    <row r="13" customFormat="false" ht="21" hidden="false" customHeight="true" outlineLevel="0" collapsed="false">
      <c r="A13" s="44" t="n">
        <v>1</v>
      </c>
      <c r="B13" s="44" t="s">
        <v>74</v>
      </c>
      <c r="C13" s="44" t="s">
        <v>167</v>
      </c>
      <c r="D13" s="45" t="s">
        <v>168</v>
      </c>
      <c r="E13" s="44" t="s">
        <v>87</v>
      </c>
      <c r="F13" s="46" t="n">
        <f aca="false">Смета!H42</f>
        <v>101.7</v>
      </c>
      <c r="G13" s="47" t="n">
        <v>4483.2</v>
      </c>
      <c r="H13" s="47" t="n">
        <f aca="false">ROUND(F13*G13,2)</f>
        <v>455941.44</v>
      </c>
      <c r="I13" s="45" t="s">
        <v>729</v>
      </c>
      <c r="J13" s="44" t="str">
        <f aca="false">Смета!S42</f>
        <v>УЧТЕНО</v>
      </c>
      <c r="K13" s="45" t="s">
        <v>737</v>
      </c>
      <c r="L13" s="1" t="s">
        <v>59</v>
      </c>
    </row>
    <row r="14" customFormat="false" ht="21" hidden="false" customHeight="true" outlineLevel="0" collapsed="false">
      <c r="A14" s="48" t="n">
        <v>1</v>
      </c>
      <c r="B14" s="48" t="s">
        <v>74</v>
      </c>
      <c r="C14" s="48" t="s">
        <v>170</v>
      </c>
      <c r="D14" s="49" t="s">
        <v>171</v>
      </c>
      <c r="E14" s="48" t="s">
        <v>87</v>
      </c>
      <c r="F14" s="50" t="n">
        <f aca="false">Смета!H43</f>
        <v>11.8</v>
      </c>
      <c r="G14" s="51" t="n">
        <v>4483.2</v>
      </c>
      <c r="H14" s="51" t="n">
        <f aca="false">ROUND(F14*G14,2)</f>
        <v>52901.76</v>
      </c>
      <c r="I14" s="49" t="s">
        <v>729</v>
      </c>
      <c r="J14" s="48" t="str">
        <f aca="false">Смета!S43</f>
        <v>НЕ УЧТЕНО</v>
      </c>
      <c r="K14" s="49" t="s">
        <v>173</v>
      </c>
      <c r="L14" s="1" t="s">
        <v>172</v>
      </c>
    </row>
    <row r="15" customFormat="false" ht="27.75" hidden="false" customHeight="true" outlineLevel="0" collapsed="false">
      <c r="A15" s="44" t="n">
        <v>1</v>
      </c>
      <c r="B15" s="44" t="s">
        <v>74</v>
      </c>
      <c r="C15" s="44" t="s">
        <v>174</v>
      </c>
      <c r="D15" s="45" t="s">
        <v>175</v>
      </c>
      <c r="E15" s="44" t="s">
        <v>176</v>
      </c>
      <c r="F15" s="46" t="n">
        <f aca="false">Смета!H44</f>
        <v>59</v>
      </c>
      <c r="G15" s="47" t="n">
        <v>2898</v>
      </c>
      <c r="H15" s="47" t="n">
        <f aca="false">ROUND(F15*G15,2)</f>
        <v>170982</v>
      </c>
      <c r="I15" s="45" t="s">
        <v>738</v>
      </c>
      <c r="J15" s="44" t="str">
        <f aca="false">Смета!S44</f>
        <v>УЧТЕНО</v>
      </c>
      <c r="K15" s="45" t="s">
        <v>177</v>
      </c>
      <c r="L15" s="1" t="s">
        <v>59</v>
      </c>
    </row>
    <row r="16" customFormat="false" ht="21" hidden="false" customHeight="true" outlineLevel="0" collapsed="false">
      <c r="A16" s="44" t="n">
        <v>1</v>
      </c>
      <c r="B16" s="44" t="s">
        <v>74</v>
      </c>
      <c r="C16" s="44" t="s">
        <v>178</v>
      </c>
      <c r="D16" s="45" t="s">
        <v>179</v>
      </c>
      <c r="E16" s="44" t="s">
        <v>180</v>
      </c>
      <c r="F16" s="46" t="n">
        <f aca="false">Смета!H45</f>
        <v>2595</v>
      </c>
      <c r="G16" s="47" t="n">
        <v>14.5</v>
      </c>
      <c r="H16" s="47" t="n">
        <f aca="false">ROUND(F16*G16,2)</f>
        <v>37627.5</v>
      </c>
      <c r="I16" s="45" t="s">
        <v>738</v>
      </c>
      <c r="J16" s="44" t="str">
        <f aca="false">Смета!S45</f>
        <v>УЧТЕНО</v>
      </c>
      <c r="K16" s="45" t="s">
        <v>181</v>
      </c>
      <c r="L16" s="1" t="s">
        <v>59</v>
      </c>
    </row>
    <row r="17" customFormat="false" ht="21" hidden="false" customHeight="true" outlineLevel="0" collapsed="false">
      <c r="A17" s="44" t="n">
        <v>1</v>
      </c>
      <c r="B17" s="44" t="s">
        <v>74</v>
      </c>
      <c r="C17" s="44" t="s">
        <v>182</v>
      </c>
      <c r="D17" s="45" t="s">
        <v>183</v>
      </c>
      <c r="E17" s="44" t="s">
        <v>180</v>
      </c>
      <c r="F17" s="46" t="n">
        <f aca="false">Смета!H46</f>
        <v>30</v>
      </c>
      <c r="G17" s="47" t="n">
        <v>1060.8</v>
      </c>
      <c r="H17" s="47" t="n">
        <f aca="false">ROUND(F17*G17,2)</f>
        <v>31824</v>
      </c>
      <c r="I17" s="45" t="s">
        <v>738</v>
      </c>
      <c r="J17" s="44" t="str">
        <f aca="false">Смета!S46</f>
        <v>УЧТЕНО</v>
      </c>
      <c r="K17" s="45" t="s">
        <v>184</v>
      </c>
      <c r="L17" s="1" t="s">
        <v>59</v>
      </c>
    </row>
    <row r="18" customFormat="false" ht="21" hidden="false" customHeight="true" outlineLevel="0" collapsed="false">
      <c r="A18" s="44" t="n">
        <v>1</v>
      </c>
      <c r="B18" s="44" t="s">
        <v>74</v>
      </c>
      <c r="C18" s="44" t="s">
        <v>185</v>
      </c>
      <c r="D18" s="45" t="s">
        <v>186</v>
      </c>
      <c r="E18" s="44" t="s">
        <v>80</v>
      </c>
      <c r="F18" s="46" t="n">
        <f aca="false">Смета!H47</f>
        <v>380</v>
      </c>
      <c r="G18" s="47" t="n">
        <v>136.32</v>
      </c>
      <c r="H18" s="47" t="n">
        <f aca="false">ROUND(F18*G18,2)</f>
        <v>51801.6</v>
      </c>
      <c r="I18" s="45" t="s">
        <v>729</v>
      </c>
      <c r="J18" s="44" t="str">
        <f aca="false">Смета!S47</f>
        <v>УЧТЕНО</v>
      </c>
      <c r="K18" s="45" t="s">
        <v>187</v>
      </c>
      <c r="L18" s="1" t="s">
        <v>59</v>
      </c>
    </row>
    <row r="19" customFormat="false" ht="27.75" hidden="false" customHeight="true" outlineLevel="0" collapsed="false">
      <c r="A19" s="44" t="n">
        <v>1</v>
      </c>
      <c r="B19" s="44" t="s">
        <v>74</v>
      </c>
      <c r="C19" s="44" t="s">
        <v>188</v>
      </c>
      <c r="D19" s="45" t="s">
        <v>189</v>
      </c>
      <c r="E19" s="44" t="s">
        <v>190</v>
      </c>
      <c r="F19" s="46" t="n">
        <f aca="false">Смета!H48</f>
        <v>134</v>
      </c>
      <c r="G19" s="47" t="n">
        <v>337.43</v>
      </c>
      <c r="H19" s="47" t="n">
        <f aca="false">ROUND(F19*G19,2)</f>
        <v>45215.62</v>
      </c>
      <c r="I19" s="45" t="s">
        <v>738</v>
      </c>
      <c r="J19" s="44" t="str">
        <f aca="false">Смета!S48</f>
        <v>УЧТЕНО</v>
      </c>
      <c r="K19" s="45" t="s">
        <v>191</v>
      </c>
      <c r="L19" s="1" t="s">
        <v>59</v>
      </c>
    </row>
    <row r="20" customFormat="false" ht="27.75" hidden="false" customHeight="true" outlineLevel="0" collapsed="false">
      <c r="A20" s="44" t="n">
        <v>1</v>
      </c>
      <c r="B20" s="44" t="s">
        <v>74</v>
      </c>
      <c r="C20" s="44" t="s">
        <v>192</v>
      </c>
      <c r="D20" s="45" t="s">
        <v>193</v>
      </c>
      <c r="E20" s="44" t="s">
        <v>190</v>
      </c>
      <c r="F20" s="46" t="n">
        <f aca="false">Смета!H49</f>
        <v>36</v>
      </c>
      <c r="G20" s="47" t="n">
        <v>223.44</v>
      </c>
      <c r="H20" s="47" t="n">
        <f aca="false">ROUND(F20*G20,2)</f>
        <v>8043.84</v>
      </c>
      <c r="I20" s="45" t="s">
        <v>738</v>
      </c>
      <c r="J20" s="44" t="str">
        <f aca="false">Смета!S49</f>
        <v>УЧТЕНО</v>
      </c>
      <c r="K20" s="45" t="s">
        <v>194</v>
      </c>
      <c r="L20" s="1" t="s">
        <v>59</v>
      </c>
    </row>
    <row r="21" customFormat="false" ht="27.75" hidden="false" customHeight="true" outlineLevel="0" collapsed="false">
      <c r="A21" s="44" t="n">
        <v>1</v>
      </c>
      <c r="B21" s="44" t="s">
        <v>74</v>
      </c>
      <c r="C21" s="44" t="s">
        <v>195</v>
      </c>
      <c r="D21" s="45" t="s">
        <v>196</v>
      </c>
      <c r="E21" s="44" t="s">
        <v>80</v>
      </c>
      <c r="F21" s="46" t="n">
        <f aca="false">Смета!H50</f>
        <v>420</v>
      </c>
      <c r="G21" s="47" t="n">
        <v>11.42</v>
      </c>
      <c r="H21" s="47" t="n">
        <f aca="false">ROUND(F21*G21,2)</f>
        <v>4796.4</v>
      </c>
      <c r="I21" s="45" t="s">
        <v>738</v>
      </c>
      <c r="J21" s="44" t="str">
        <f aca="false">Смета!S50</f>
        <v>УЧТЕНО</v>
      </c>
      <c r="K21" s="45" t="s">
        <v>197</v>
      </c>
      <c r="L21" s="1" t="s">
        <v>59</v>
      </c>
    </row>
    <row r="22" customFormat="false" ht="21" hidden="false" customHeight="true" outlineLevel="0" collapsed="false">
      <c r="A22" s="44" t="n">
        <v>1</v>
      </c>
      <c r="B22" s="44" t="s">
        <v>74</v>
      </c>
      <c r="C22" s="44" t="s">
        <v>198</v>
      </c>
      <c r="D22" s="45" t="s">
        <v>199</v>
      </c>
      <c r="E22" s="44" t="s">
        <v>116</v>
      </c>
      <c r="F22" s="46" t="n">
        <f aca="false">Смета!H51</f>
        <v>0.09</v>
      </c>
      <c r="G22" s="47" t="n">
        <v>158080</v>
      </c>
      <c r="H22" s="47" t="n">
        <f aca="false">ROUND(F22*G22,2)</f>
        <v>14227.2</v>
      </c>
      <c r="I22" s="45" t="s">
        <v>729</v>
      </c>
      <c r="J22" s="44" t="str">
        <f aca="false">Смета!S51</f>
        <v>УЧТЕНО</v>
      </c>
      <c r="K22" s="45" t="s">
        <v>200</v>
      </c>
      <c r="L22" s="1" t="s">
        <v>59</v>
      </c>
    </row>
    <row r="23" customFormat="false" ht="21" hidden="false" customHeight="true" outlineLevel="0" collapsed="false">
      <c r="A23" s="44" t="n">
        <v>1</v>
      </c>
      <c r="B23" s="44" t="s">
        <v>74</v>
      </c>
      <c r="C23" s="44" t="s">
        <v>201</v>
      </c>
      <c r="D23" s="45" t="s">
        <v>202</v>
      </c>
      <c r="E23" s="44" t="s">
        <v>176</v>
      </c>
      <c r="F23" s="46" t="n">
        <f aca="false">Смета!H52</f>
        <v>15</v>
      </c>
      <c r="G23" s="47" t="n">
        <v>758.4</v>
      </c>
      <c r="H23" s="47" t="n">
        <f aca="false">ROUND(F23*G23,2)</f>
        <v>11376</v>
      </c>
      <c r="I23" s="45" t="s">
        <v>738</v>
      </c>
      <c r="J23" s="44" t="str">
        <f aca="false">Смета!S52</f>
        <v>УЧТЕНО</v>
      </c>
      <c r="K23" s="45" t="s">
        <v>203</v>
      </c>
      <c r="L23" s="1" t="s">
        <v>59</v>
      </c>
    </row>
    <row r="24" customFormat="false" ht="21" hidden="false" customHeight="true" outlineLevel="0" collapsed="false">
      <c r="A24" s="44" t="n">
        <v>1</v>
      </c>
      <c r="B24" s="44" t="s">
        <v>74</v>
      </c>
      <c r="C24" s="44" t="s">
        <v>204</v>
      </c>
      <c r="D24" s="45" t="s">
        <v>205</v>
      </c>
      <c r="E24" s="44" t="s">
        <v>87</v>
      </c>
      <c r="F24" s="46" t="n">
        <f aca="false">Смета!H53</f>
        <v>37.5</v>
      </c>
      <c r="G24" s="47" t="n">
        <v>3720</v>
      </c>
      <c r="H24" s="47" t="n">
        <f aca="false">ROUND(F24*G24,2)</f>
        <v>139500</v>
      </c>
      <c r="I24" s="45" t="s">
        <v>729</v>
      </c>
      <c r="J24" s="44" t="str">
        <f aca="false">Смета!S53</f>
        <v>УЧТЕНО</v>
      </c>
      <c r="K24" s="45" t="s">
        <v>739</v>
      </c>
      <c r="L24" s="1" t="s">
        <v>59</v>
      </c>
    </row>
    <row r="25" customFormat="false" ht="21" hidden="false" customHeight="true" outlineLevel="0" collapsed="false">
      <c r="A25" s="48" t="n">
        <v>1</v>
      </c>
      <c r="B25" s="48" t="s">
        <v>74</v>
      </c>
      <c r="C25" s="48" t="s">
        <v>207</v>
      </c>
      <c r="D25" s="49" t="s">
        <v>208</v>
      </c>
      <c r="E25" s="48" t="s">
        <v>87</v>
      </c>
      <c r="F25" s="50" t="n">
        <f aca="false">Смета!H54</f>
        <v>4.5</v>
      </c>
      <c r="G25" s="51" t="n">
        <v>3720</v>
      </c>
      <c r="H25" s="51" t="n">
        <f aca="false">ROUND(F25*G25,2)</f>
        <v>16740</v>
      </c>
      <c r="I25" s="49" t="s">
        <v>729</v>
      </c>
      <c r="J25" s="48" t="str">
        <f aca="false">Смета!S54</f>
        <v>НЕ УЧТЕНО</v>
      </c>
      <c r="K25" s="49" t="s">
        <v>209</v>
      </c>
      <c r="L25" s="1" t="s">
        <v>172</v>
      </c>
    </row>
    <row r="26" customFormat="false" ht="21" hidden="false" customHeight="true" outlineLevel="0" collapsed="false">
      <c r="A26" s="44" t="n">
        <v>1</v>
      </c>
      <c r="B26" s="44" t="s">
        <v>74</v>
      </c>
      <c r="C26" s="44" t="s">
        <v>210</v>
      </c>
      <c r="D26" s="45" t="s">
        <v>211</v>
      </c>
      <c r="E26" s="44" t="s">
        <v>212</v>
      </c>
      <c r="F26" s="46" t="n">
        <f aca="false">Смета!H55</f>
        <v>1</v>
      </c>
      <c r="G26" s="47" t="n">
        <f aca="false">ROUND(SUMIFS($H$6:$H$25,$L$6:$L$25,L26,$J$6:$J$25,J26)*2%,2)</f>
        <v>33275.63</v>
      </c>
      <c r="H26" s="47" t="n">
        <f aca="false">ROUND(F26*G26,2)</f>
        <v>33275.63</v>
      </c>
      <c r="I26" s="45" t="s">
        <v>740</v>
      </c>
      <c r="J26" s="44" t="str">
        <f aca="false">Смета!S55</f>
        <v>УЧТЕНО</v>
      </c>
      <c r="K26" s="45" t="s">
        <v>213</v>
      </c>
      <c r="L26" s="1" t="s">
        <v>59</v>
      </c>
    </row>
    <row r="27" customFormat="false" ht="27.75" hidden="false" customHeight="true" outlineLevel="0" collapsed="false">
      <c r="A27" s="48" t="n">
        <v>1</v>
      </c>
      <c r="B27" s="48" t="s">
        <v>74</v>
      </c>
      <c r="C27" s="48" t="s">
        <v>214</v>
      </c>
      <c r="D27" s="49" t="s">
        <v>215</v>
      </c>
      <c r="E27" s="48" t="s">
        <v>212</v>
      </c>
      <c r="F27" s="50" t="n">
        <f aca="false">Смета!H56</f>
        <v>1</v>
      </c>
      <c r="G27" s="51" t="n">
        <f aca="false">ROUND(SUMIFS($H$6:$H$26,$L$6:$L$26,L27,$J$6:$J$26,J27)*2%,2)</f>
        <v>1392.84</v>
      </c>
      <c r="H27" s="51" t="n">
        <f aca="false">ROUND(F27*G27,2)</f>
        <v>1392.84</v>
      </c>
      <c r="I27" s="49" t="s">
        <v>740</v>
      </c>
      <c r="J27" s="48" t="str">
        <f aca="false">Смета!S56</f>
        <v>НЕ УЧТЕНО</v>
      </c>
      <c r="K27" s="49" t="s">
        <v>216</v>
      </c>
      <c r="L27" s="1" t="s">
        <v>172</v>
      </c>
    </row>
    <row r="28" customFormat="false" ht="21" hidden="false" customHeight="true" outlineLevel="0" collapsed="false">
      <c r="A28" s="44" t="n">
        <v>1</v>
      </c>
      <c r="B28" s="44" t="s">
        <v>225</v>
      </c>
      <c r="C28" s="44" t="s">
        <v>243</v>
      </c>
      <c r="D28" s="45" t="s">
        <v>244</v>
      </c>
      <c r="E28" s="44" t="s">
        <v>180</v>
      </c>
      <c r="F28" s="46" t="n">
        <f aca="false">Смета!H67</f>
        <v>2</v>
      </c>
      <c r="G28" s="47" t="n">
        <v>10752</v>
      </c>
      <c r="H28" s="47" t="n">
        <f aca="false">ROUND(F28*G28,2)</f>
        <v>21504</v>
      </c>
      <c r="I28" s="45" t="s">
        <v>738</v>
      </c>
      <c r="J28" s="44" t="str">
        <f aca="false">Смета!S67</f>
        <v>УЧТЕНО</v>
      </c>
      <c r="K28" s="45" t="s">
        <v>245</v>
      </c>
      <c r="L28" s="1" t="s">
        <v>59</v>
      </c>
    </row>
    <row r="29" customFormat="false" ht="27.75" hidden="false" customHeight="true" outlineLevel="0" collapsed="false">
      <c r="A29" s="44" t="n">
        <v>1</v>
      </c>
      <c r="B29" s="44" t="s">
        <v>225</v>
      </c>
      <c r="C29" s="44" t="s">
        <v>246</v>
      </c>
      <c r="D29" s="45" t="s">
        <v>175</v>
      </c>
      <c r="E29" s="44" t="s">
        <v>176</v>
      </c>
      <c r="F29" s="46" t="n">
        <f aca="false">Смета!H68</f>
        <v>15</v>
      </c>
      <c r="G29" s="47" t="n">
        <v>2898</v>
      </c>
      <c r="H29" s="47" t="n">
        <f aca="false">ROUND(F29*G29,2)</f>
        <v>43470</v>
      </c>
      <c r="I29" s="45" t="s">
        <v>738</v>
      </c>
      <c r="J29" s="44" t="str">
        <f aca="false">Смета!S68</f>
        <v>УЧТЕНО</v>
      </c>
      <c r="K29" s="45" t="s">
        <v>247</v>
      </c>
      <c r="L29" s="1" t="s">
        <v>59</v>
      </c>
    </row>
    <row r="30" customFormat="false" ht="21" hidden="false" customHeight="true" outlineLevel="0" collapsed="false">
      <c r="A30" s="44" t="n">
        <v>1</v>
      </c>
      <c r="B30" s="44" t="s">
        <v>225</v>
      </c>
      <c r="C30" s="44" t="s">
        <v>248</v>
      </c>
      <c r="D30" s="45" t="s">
        <v>179</v>
      </c>
      <c r="E30" s="44" t="s">
        <v>180</v>
      </c>
      <c r="F30" s="46" t="n">
        <f aca="false">Смета!H69</f>
        <v>485</v>
      </c>
      <c r="G30" s="47" t="n">
        <v>14.5</v>
      </c>
      <c r="H30" s="47" t="n">
        <f aca="false">ROUND(F30*G30,2)</f>
        <v>7032.5</v>
      </c>
      <c r="I30" s="45" t="s">
        <v>738</v>
      </c>
      <c r="J30" s="44" t="str">
        <f aca="false">Смета!S69</f>
        <v>УЧТЕНО</v>
      </c>
      <c r="K30" s="45" t="s">
        <v>249</v>
      </c>
      <c r="L30" s="1" t="s">
        <v>59</v>
      </c>
    </row>
    <row r="31" customFormat="false" ht="21" hidden="false" customHeight="true" outlineLevel="0" collapsed="false">
      <c r="A31" s="44" t="n">
        <v>1</v>
      </c>
      <c r="B31" s="44" t="s">
        <v>225</v>
      </c>
      <c r="C31" s="44" t="s">
        <v>250</v>
      </c>
      <c r="D31" s="45" t="s">
        <v>186</v>
      </c>
      <c r="E31" s="44" t="s">
        <v>80</v>
      </c>
      <c r="F31" s="46" t="n">
        <f aca="false">Смета!H70</f>
        <v>70</v>
      </c>
      <c r="G31" s="47" t="n">
        <v>136.32</v>
      </c>
      <c r="H31" s="47" t="n">
        <f aca="false">ROUND(F31*G31,2)</f>
        <v>9542.4</v>
      </c>
      <c r="I31" s="45" t="s">
        <v>729</v>
      </c>
      <c r="J31" s="44" t="str">
        <f aca="false">Смета!S70</f>
        <v>УЧТЕНО</v>
      </c>
      <c r="K31" s="45" t="s">
        <v>251</v>
      </c>
      <c r="L31" s="1" t="s">
        <v>59</v>
      </c>
    </row>
    <row r="32" customFormat="false" ht="21" hidden="false" customHeight="true" outlineLevel="0" collapsed="false">
      <c r="A32" s="44" t="n">
        <v>1</v>
      </c>
      <c r="B32" s="44" t="s">
        <v>225</v>
      </c>
      <c r="C32" s="44" t="s">
        <v>252</v>
      </c>
      <c r="D32" s="45" t="s">
        <v>253</v>
      </c>
      <c r="E32" s="44" t="s">
        <v>87</v>
      </c>
      <c r="F32" s="46" t="n">
        <f aca="false">Смета!H71</f>
        <v>7</v>
      </c>
      <c r="G32" s="47" t="n">
        <v>4483.2</v>
      </c>
      <c r="H32" s="47" t="n">
        <f aca="false">ROUND(F32*G32,2)</f>
        <v>31382.4</v>
      </c>
      <c r="I32" s="45" t="s">
        <v>729</v>
      </c>
      <c r="J32" s="44" t="str">
        <f aca="false">Смета!S71</f>
        <v>УЧТЕНО</v>
      </c>
      <c r="K32" s="45" t="s">
        <v>254</v>
      </c>
      <c r="L32" s="1" t="s">
        <v>59</v>
      </c>
    </row>
    <row r="33" customFormat="false" ht="21" hidden="false" customHeight="true" outlineLevel="0" collapsed="false">
      <c r="A33" s="44" t="n">
        <v>1</v>
      </c>
      <c r="B33" s="44" t="s">
        <v>225</v>
      </c>
      <c r="C33" s="44" t="s">
        <v>255</v>
      </c>
      <c r="D33" s="45" t="s">
        <v>211</v>
      </c>
      <c r="E33" s="44" t="s">
        <v>212</v>
      </c>
      <c r="F33" s="46" t="n">
        <f aca="false">Смета!H72</f>
        <v>1</v>
      </c>
      <c r="G33" s="47" t="n">
        <f aca="false">ROUND(SUMIFS($H$28:$H$32,$L$28:$L$32,L33,$J$28:$J$32,J33)*2%,2)</f>
        <v>2258.63</v>
      </c>
      <c r="H33" s="47" t="n">
        <f aca="false">ROUND(F33*G33,2)</f>
        <v>2258.63</v>
      </c>
      <c r="I33" s="45" t="s">
        <v>740</v>
      </c>
      <c r="J33" s="44" t="str">
        <f aca="false">Смета!S72</f>
        <v>УЧТЕНО</v>
      </c>
      <c r="K33" s="45" t="s">
        <v>256</v>
      </c>
      <c r="L33" s="1" t="s">
        <v>59</v>
      </c>
    </row>
    <row r="34" customFormat="false" ht="27.75" hidden="false" customHeight="true" outlineLevel="0" collapsed="false">
      <c r="A34" s="44" t="n">
        <v>1</v>
      </c>
      <c r="B34" s="44" t="s">
        <v>263</v>
      </c>
      <c r="C34" s="44" t="s">
        <v>267</v>
      </c>
      <c r="D34" s="45" t="s">
        <v>268</v>
      </c>
      <c r="E34" s="44" t="s">
        <v>135</v>
      </c>
      <c r="F34" s="46" t="n">
        <f aca="false">Смета!H78</f>
        <v>85</v>
      </c>
      <c r="G34" s="47" t="n">
        <v>678</v>
      </c>
      <c r="H34" s="47" t="n">
        <f aca="false">ROUND(F34*G34,2)</f>
        <v>57630</v>
      </c>
      <c r="I34" s="45" t="s">
        <v>738</v>
      </c>
      <c r="J34" s="44" t="str">
        <f aca="false">Смета!S78</f>
        <v>УЧТЕНО</v>
      </c>
      <c r="K34" s="45" t="s">
        <v>269</v>
      </c>
      <c r="L34" s="1" t="s">
        <v>59</v>
      </c>
    </row>
    <row r="35" customFormat="false" ht="27.75" hidden="false" customHeight="true" outlineLevel="0" collapsed="false">
      <c r="A35" s="44" t="n">
        <v>1</v>
      </c>
      <c r="B35" s="44" t="s">
        <v>263</v>
      </c>
      <c r="C35" s="44" t="s">
        <v>273</v>
      </c>
      <c r="D35" s="45" t="s">
        <v>274</v>
      </c>
      <c r="E35" s="44" t="s">
        <v>180</v>
      </c>
      <c r="F35" s="46" t="n">
        <f aca="false">Смета!H80</f>
        <v>24</v>
      </c>
      <c r="G35" s="47" t="n">
        <v>1146</v>
      </c>
      <c r="H35" s="47" t="n">
        <f aca="false">ROUND(F35*G35,2)</f>
        <v>27504</v>
      </c>
      <c r="I35" s="45" t="s">
        <v>738</v>
      </c>
      <c r="J35" s="44" t="str">
        <f aca="false">Смета!S80</f>
        <v>УЧТЕНО</v>
      </c>
      <c r="K35" s="45" t="s">
        <v>275</v>
      </c>
      <c r="L35" s="1" t="s">
        <v>59</v>
      </c>
    </row>
    <row r="36" customFormat="false" ht="27.75" hidden="false" customHeight="true" outlineLevel="0" collapsed="false">
      <c r="A36" s="44" t="n">
        <v>1</v>
      </c>
      <c r="B36" s="44" t="s">
        <v>263</v>
      </c>
      <c r="C36" s="44" t="s">
        <v>276</v>
      </c>
      <c r="D36" s="45" t="s">
        <v>277</v>
      </c>
      <c r="E36" s="44" t="s">
        <v>80</v>
      </c>
      <c r="F36" s="46" t="n">
        <f aca="false">Смета!H81</f>
        <v>420</v>
      </c>
      <c r="G36" s="47" t="n">
        <v>63.6</v>
      </c>
      <c r="H36" s="47" t="n">
        <f aca="false">ROUND(F36*G36,2)</f>
        <v>26712</v>
      </c>
      <c r="I36" s="45" t="s">
        <v>738</v>
      </c>
      <c r="J36" s="44" t="str">
        <f aca="false">Смета!S81</f>
        <v>УЧТЕНО</v>
      </c>
      <c r="K36" s="45" t="s">
        <v>278</v>
      </c>
      <c r="L36" s="1" t="s">
        <v>59</v>
      </c>
    </row>
    <row r="37" customFormat="false" ht="21" hidden="false" customHeight="true" outlineLevel="0" collapsed="false">
      <c r="A37" s="44" t="n">
        <v>1</v>
      </c>
      <c r="B37" s="44" t="s">
        <v>263</v>
      </c>
      <c r="C37" s="44" t="s">
        <v>279</v>
      </c>
      <c r="D37" s="45" t="s">
        <v>280</v>
      </c>
      <c r="E37" s="44" t="s">
        <v>116</v>
      </c>
      <c r="F37" s="46" t="n">
        <f aca="false">Смета!H82</f>
        <v>65.7</v>
      </c>
      <c r="G37" s="47" t="n">
        <v>720</v>
      </c>
      <c r="H37" s="47" t="n">
        <f aca="false">ROUND(F37*G37,2)</f>
        <v>47304</v>
      </c>
      <c r="I37" s="45" t="s">
        <v>733</v>
      </c>
      <c r="J37" s="44" t="str">
        <f aca="false">Смета!S82</f>
        <v>УЧТЕНО</v>
      </c>
      <c r="K37" s="45" t="s">
        <v>281</v>
      </c>
      <c r="L37" s="1" t="s">
        <v>59</v>
      </c>
    </row>
    <row r="38" customFormat="false" ht="21" hidden="false" customHeight="true" outlineLevel="0" collapsed="false">
      <c r="A38" s="44" t="n">
        <v>2</v>
      </c>
      <c r="B38" s="44" t="s">
        <v>54</v>
      </c>
      <c r="C38" s="44" t="s">
        <v>325</v>
      </c>
      <c r="D38" s="45" t="s">
        <v>326</v>
      </c>
      <c r="E38" s="44" t="s">
        <v>327</v>
      </c>
      <c r="F38" s="46" t="n">
        <f aca="false">Смета!H101</f>
        <v>11</v>
      </c>
      <c r="G38" s="47" t="n">
        <v>33600</v>
      </c>
      <c r="H38" s="47" t="n">
        <f aca="false">ROUND(F38*G38,2)</f>
        <v>369600</v>
      </c>
      <c r="I38" s="45" t="s">
        <v>733</v>
      </c>
      <c r="J38" s="44" t="str">
        <f aca="false">Смета!S101</f>
        <v>УЧТЕНО</v>
      </c>
      <c r="K38" s="45" t="s">
        <v>328</v>
      </c>
      <c r="L38" s="1" t="s">
        <v>59</v>
      </c>
    </row>
    <row r="39" customFormat="false" ht="27.75" hidden="false" customHeight="true" outlineLevel="0" collapsed="false">
      <c r="A39" s="44" t="n">
        <v>2</v>
      </c>
      <c r="B39" s="44" t="s">
        <v>54</v>
      </c>
      <c r="C39" s="44" t="s">
        <v>329</v>
      </c>
      <c r="D39" s="45" t="s">
        <v>330</v>
      </c>
      <c r="E39" s="44" t="s">
        <v>180</v>
      </c>
      <c r="F39" s="46" t="n">
        <f aca="false">Смета!H102</f>
        <v>5976</v>
      </c>
      <c r="G39" s="47" t="n">
        <v>680</v>
      </c>
      <c r="H39" s="47" t="n">
        <f aca="false">ROUND(F39*G39,2)</f>
        <v>4063680</v>
      </c>
      <c r="I39" s="45" t="s">
        <v>738</v>
      </c>
      <c r="J39" s="44" t="str">
        <f aca="false">Смета!S102</f>
        <v>УЧТЕНО</v>
      </c>
      <c r="K39" s="45" t="s">
        <v>331</v>
      </c>
      <c r="L39" s="1" t="s">
        <v>59</v>
      </c>
    </row>
    <row r="40" customFormat="false" ht="27.75" hidden="false" customHeight="true" outlineLevel="0" collapsed="false">
      <c r="A40" s="44" t="n">
        <v>2</v>
      </c>
      <c r="B40" s="44" t="s">
        <v>54</v>
      </c>
      <c r="C40" s="44" t="s">
        <v>332</v>
      </c>
      <c r="D40" s="45" t="s">
        <v>333</v>
      </c>
      <c r="E40" s="44" t="s">
        <v>180</v>
      </c>
      <c r="F40" s="46" t="n">
        <f aca="false">Смета!H103</f>
        <v>1624</v>
      </c>
      <c r="G40" s="47" t="n">
        <v>408</v>
      </c>
      <c r="H40" s="47" t="n">
        <f aca="false">ROUND(F40*G40,2)</f>
        <v>662592</v>
      </c>
      <c r="I40" s="45" t="s">
        <v>738</v>
      </c>
      <c r="J40" s="44" t="str">
        <f aca="false">Смета!S103</f>
        <v>УЧТЕНО</v>
      </c>
      <c r="K40" s="45" t="s">
        <v>334</v>
      </c>
      <c r="L40" s="1" t="s">
        <v>59</v>
      </c>
    </row>
    <row r="41" customFormat="false" ht="27.75" hidden="false" customHeight="true" outlineLevel="0" collapsed="false">
      <c r="A41" s="44" t="n">
        <v>2</v>
      </c>
      <c r="B41" s="44" t="s">
        <v>54</v>
      </c>
      <c r="C41" s="44" t="s">
        <v>335</v>
      </c>
      <c r="D41" s="45" t="s">
        <v>336</v>
      </c>
      <c r="E41" s="44" t="s">
        <v>180</v>
      </c>
      <c r="F41" s="46" t="n">
        <f aca="false">Смета!H104</f>
        <v>4160</v>
      </c>
      <c r="G41" s="47" t="n">
        <v>288</v>
      </c>
      <c r="H41" s="47" t="n">
        <f aca="false">ROUND(F41*G41,2)</f>
        <v>1198080</v>
      </c>
      <c r="I41" s="45" t="s">
        <v>738</v>
      </c>
      <c r="J41" s="44" t="str">
        <f aca="false">Смета!S104</f>
        <v>УЧТЕНО</v>
      </c>
      <c r="K41" s="45" t="s">
        <v>337</v>
      </c>
      <c r="L41" s="1" t="s">
        <v>59</v>
      </c>
    </row>
    <row r="42" customFormat="false" ht="27.75" hidden="false" customHeight="true" outlineLevel="0" collapsed="false">
      <c r="A42" s="44" t="n">
        <v>2</v>
      </c>
      <c r="B42" s="44" t="s">
        <v>54</v>
      </c>
      <c r="C42" s="44" t="s">
        <v>338</v>
      </c>
      <c r="D42" s="45" t="s">
        <v>339</v>
      </c>
      <c r="E42" s="44" t="s">
        <v>180</v>
      </c>
      <c r="F42" s="46" t="n">
        <f aca="false">Смета!H105</f>
        <v>11340</v>
      </c>
      <c r="G42" s="47" t="n">
        <v>29.4</v>
      </c>
      <c r="H42" s="47" t="n">
        <f aca="false">ROUND(F42*G42,2)</f>
        <v>333396</v>
      </c>
      <c r="I42" s="45" t="s">
        <v>738</v>
      </c>
      <c r="J42" s="44" t="str">
        <f aca="false">Смета!S105</f>
        <v>УЧТЕНО</v>
      </c>
      <c r="K42" s="45" t="s">
        <v>340</v>
      </c>
      <c r="L42" s="1" t="s">
        <v>59</v>
      </c>
    </row>
    <row r="43" customFormat="false" ht="21" hidden="false" customHeight="true" outlineLevel="0" collapsed="false">
      <c r="A43" s="44" t="n">
        <v>2</v>
      </c>
      <c r="B43" s="44" t="s">
        <v>54</v>
      </c>
      <c r="C43" s="44" t="s">
        <v>341</v>
      </c>
      <c r="D43" s="45" t="s">
        <v>342</v>
      </c>
      <c r="E43" s="44" t="s">
        <v>116</v>
      </c>
      <c r="F43" s="46" t="n">
        <f aca="false">Смета!H106</f>
        <v>1.75</v>
      </c>
      <c r="G43" s="47" t="n">
        <v>74160</v>
      </c>
      <c r="H43" s="47" t="n">
        <f aca="false">ROUND(F43*G43,2)</f>
        <v>129780</v>
      </c>
      <c r="I43" s="45" t="s">
        <v>729</v>
      </c>
      <c r="J43" s="44" t="str">
        <f aca="false">Смета!S106</f>
        <v>УЧТЕНО</v>
      </c>
      <c r="K43" s="45" t="s">
        <v>343</v>
      </c>
      <c r="L43" s="1" t="s">
        <v>59</v>
      </c>
    </row>
    <row r="44" customFormat="false" ht="21" hidden="false" customHeight="true" outlineLevel="0" collapsed="false">
      <c r="A44" s="44" t="n">
        <v>2</v>
      </c>
      <c r="B44" s="44" t="s">
        <v>54</v>
      </c>
      <c r="C44" s="44" t="s">
        <v>344</v>
      </c>
      <c r="D44" s="45" t="s">
        <v>345</v>
      </c>
      <c r="E44" s="44" t="s">
        <v>116</v>
      </c>
      <c r="F44" s="46" t="n">
        <f aca="false">Смета!H107</f>
        <v>135.21</v>
      </c>
      <c r="G44" s="47" t="n">
        <v>1200</v>
      </c>
      <c r="H44" s="47" t="n">
        <f aca="false">ROUND(F44*G44,2)</f>
        <v>162252</v>
      </c>
      <c r="I44" s="45" t="s">
        <v>733</v>
      </c>
      <c r="J44" s="44" t="str">
        <f aca="false">Смета!S107</f>
        <v>УЧТЕНО</v>
      </c>
      <c r="K44" s="45" t="s">
        <v>346</v>
      </c>
      <c r="L44" s="1" t="s">
        <v>59</v>
      </c>
    </row>
    <row r="45" customFormat="false" ht="21" hidden="false" customHeight="true" outlineLevel="0" collapsed="false">
      <c r="A45" s="44" t="n">
        <v>2</v>
      </c>
      <c r="B45" s="44" t="s">
        <v>54</v>
      </c>
      <c r="C45" s="44" t="s">
        <v>347</v>
      </c>
      <c r="D45" s="45" t="s">
        <v>348</v>
      </c>
      <c r="E45" s="44" t="s">
        <v>349</v>
      </c>
      <c r="F45" s="46" t="n">
        <f aca="false">Смета!H108</f>
        <v>983</v>
      </c>
      <c r="G45" s="47" t="n">
        <v>650.4</v>
      </c>
      <c r="H45" s="47" t="n">
        <f aca="false">ROUND(F45*G45,2)</f>
        <v>639343.2</v>
      </c>
      <c r="I45" s="45" t="s">
        <v>738</v>
      </c>
      <c r="J45" s="44" t="str">
        <f aca="false">Смета!S108</f>
        <v>УЧТЕНО</v>
      </c>
      <c r="K45" s="45" t="s">
        <v>350</v>
      </c>
      <c r="L45" s="1" t="s">
        <v>59</v>
      </c>
    </row>
    <row r="46" customFormat="false" ht="27.75" hidden="false" customHeight="true" outlineLevel="0" collapsed="false">
      <c r="A46" s="44" t="n">
        <v>2</v>
      </c>
      <c r="B46" s="44" t="s">
        <v>54</v>
      </c>
      <c r="C46" s="44" t="s">
        <v>351</v>
      </c>
      <c r="D46" s="45" t="s">
        <v>352</v>
      </c>
      <c r="E46" s="44" t="s">
        <v>80</v>
      </c>
      <c r="F46" s="46" t="n">
        <f aca="false">Смета!H109</f>
        <v>600</v>
      </c>
      <c r="G46" s="47" t="n">
        <v>136.32</v>
      </c>
      <c r="H46" s="47" t="n">
        <f aca="false">ROUND(F46*G46,2)</f>
        <v>81792</v>
      </c>
      <c r="I46" s="45" t="s">
        <v>729</v>
      </c>
      <c r="J46" s="44" t="str">
        <f aca="false">Смета!S109</f>
        <v>УЧТЕНО</v>
      </c>
      <c r="K46" s="45" t="s">
        <v>353</v>
      </c>
      <c r="L46" s="1" t="s">
        <v>59</v>
      </c>
    </row>
    <row r="47" customFormat="false" ht="21" hidden="false" customHeight="true" outlineLevel="0" collapsed="false">
      <c r="A47" s="44" t="n">
        <v>2</v>
      </c>
      <c r="B47" s="44" t="s">
        <v>54</v>
      </c>
      <c r="C47" s="44" t="s">
        <v>354</v>
      </c>
      <c r="D47" s="45" t="s">
        <v>355</v>
      </c>
      <c r="E47" s="44" t="s">
        <v>80</v>
      </c>
      <c r="F47" s="46" t="n">
        <f aca="false">Смета!H110</f>
        <v>70</v>
      </c>
      <c r="G47" s="47" t="n">
        <v>63.6</v>
      </c>
      <c r="H47" s="47" t="n">
        <f aca="false">ROUND(F47*G47,2)</f>
        <v>4452</v>
      </c>
      <c r="I47" s="45" t="s">
        <v>738</v>
      </c>
      <c r="J47" s="44" t="str">
        <f aca="false">Смета!S110</f>
        <v>УЧТЕНО</v>
      </c>
      <c r="K47" s="45" t="s">
        <v>356</v>
      </c>
      <c r="L47" s="1" t="s">
        <v>59</v>
      </c>
    </row>
    <row r="48" customFormat="false" ht="21" hidden="false" customHeight="true" outlineLevel="0" collapsed="false">
      <c r="A48" s="44" t="n">
        <v>2</v>
      </c>
      <c r="B48" s="44" t="s">
        <v>54</v>
      </c>
      <c r="C48" s="44" t="s">
        <v>357</v>
      </c>
      <c r="D48" s="45" t="s">
        <v>211</v>
      </c>
      <c r="E48" s="44" t="s">
        <v>212</v>
      </c>
      <c r="F48" s="46" t="n">
        <f aca="false">Смета!H111</f>
        <v>1</v>
      </c>
      <c r="G48" s="47" t="n">
        <f aca="false">ROUND(SUMIFS($H$38:$H$47,$L$38:$L$47,L48,$J$38:$J$47,J48)*2%,2)</f>
        <v>152899.34</v>
      </c>
      <c r="H48" s="47" t="n">
        <f aca="false">ROUND(F48*G48,2)</f>
        <v>152899.34</v>
      </c>
      <c r="I48" s="45" t="s">
        <v>740</v>
      </c>
      <c r="J48" s="44" t="str">
        <f aca="false">Смета!S111</f>
        <v>УЧТЕНО</v>
      </c>
      <c r="K48" s="45" t="s">
        <v>358</v>
      </c>
      <c r="L48" s="1" t="s">
        <v>59</v>
      </c>
    </row>
    <row r="49" customFormat="false" ht="21" hidden="false" customHeight="true" outlineLevel="0" collapsed="false">
      <c r="A49" s="44" t="n">
        <v>2</v>
      </c>
      <c r="B49" s="44" t="s">
        <v>74</v>
      </c>
      <c r="C49" s="44" t="s">
        <v>85</v>
      </c>
      <c r="D49" s="45" t="s">
        <v>384</v>
      </c>
      <c r="E49" s="44" t="s">
        <v>190</v>
      </c>
      <c r="F49" s="46" t="n">
        <f aca="false">Смета!H123</f>
        <v>14</v>
      </c>
      <c r="G49" s="47" t="n">
        <v>112.86</v>
      </c>
      <c r="H49" s="47" t="n">
        <f aca="false">ROUND(F49*G49,2)</f>
        <v>1580.04</v>
      </c>
      <c r="I49" s="45" t="s">
        <v>738</v>
      </c>
      <c r="J49" s="44" t="str">
        <f aca="false">Смета!S123</f>
        <v>УЧТЕНО</v>
      </c>
      <c r="K49" s="45" t="s">
        <v>385</v>
      </c>
      <c r="L49" s="1" t="s">
        <v>59</v>
      </c>
    </row>
    <row r="50" customFormat="false" ht="21" hidden="false" customHeight="true" outlineLevel="0" collapsed="false">
      <c r="A50" s="44" t="n">
        <v>2</v>
      </c>
      <c r="B50" s="44" t="s">
        <v>74</v>
      </c>
      <c r="C50" s="44" t="s">
        <v>89</v>
      </c>
      <c r="D50" s="45" t="s">
        <v>386</v>
      </c>
      <c r="E50" s="44" t="s">
        <v>190</v>
      </c>
      <c r="F50" s="46" t="n">
        <f aca="false">Смета!H124</f>
        <v>9</v>
      </c>
      <c r="G50" s="47" t="n">
        <v>315.18</v>
      </c>
      <c r="H50" s="47" t="n">
        <f aca="false">ROUND(F50*G50,2)</f>
        <v>2836.62</v>
      </c>
      <c r="I50" s="45" t="s">
        <v>738</v>
      </c>
      <c r="J50" s="44" t="str">
        <f aca="false">Смета!S124</f>
        <v>УЧТЕНО</v>
      </c>
      <c r="K50" s="45" t="s">
        <v>387</v>
      </c>
      <c r="L50" s="1" t="s">
        <v>59</v>
      </c>
    </row>
    <row r="51" customFormat="false" ht="21" hidden="false" customHeight="true" outlineLevel="0" collapsed="false">
      <c r="A51" s="44" t="n">
        <v>2</v>
      </c>
      <c r="B51" s="44" t="s">
        <v>74</v>
      </c>
      <c r="C51" s="44" t="s">
        <v>92</v>
      </c>
      <c r="D51" s="45" t="s">
        <v>388</v>
      </c>
      <c r="E51" s="44" t="s">
        <v>116</v>
      </c>
      <c r="F51" s="46" t="n">
        <f aca="false">Смета!H125</f>
        <v>1.40868</v>
      </c>
      <c r="G51" s="47" t="n">
        <v>75840</v>
      </c>
      <c r="H51" s="47" t="n">
        <f aca="false">ROUND(F51*G51,2)</f>
        <v>106834.29</v>
      </c>
      <c r="I51" s="45" t="s">
        <v>729</v>
      </c>
      <c r="J51" s="44" t="str">
        <f aca="false">Смета!S125</f>
        <v>УЧТЕНО</v>
      </c>
      <c r="K51" s="45" t="s">
        <v>741</v>
      </c>
      <c r="L51" s="1" t="s">
        <v>59</v>
      </c>
    </row>
    <row r="52" customFormat="false" ht="21" hidden="false" customHeight="true" outlineLevel="0" collapsed="false">
      <c r="A52" s="44" t="n">
        <v>2</v>
      </c>
      <c r="B52" s="44" t="s">
        <v>74</v>
      </c>
      <c r="C52" s="44" t="s">
        <v>95</v>
      </c>
      <c r="D52" s="45" t="s">
        <v>390</v>
      </c>
      <c r="E52" s="44" t="s">
        <v>116</v>
      </c>
      <c r="F52" s="46" t="n">
        <f aca="false">Смета!H126</f>
        <v>0.2088</v>
      </c>
      <c r="G52" s="47" t="n">
        <v>75840</v>
      </c>
      <c r="H52" s="47" t="n">
        <f aca="false">ROUND(F52*G52,2)</f>
        <v>15835.39</v>
      </c>
      <c r="I52" s="45" t="s">
        <v>729</v>
      </c>
      <c r="J52" s="44" t="str">
        <f aca="false">Смета!S126</f>
        <v>УЧТЕНО</v>
      </c>
      <c r="K52" s="45" t="s">
        <v>742</v>
      </c>
      <c r="L52" s="1" t="s">
        <v>59</v>
      </c>
    </row>
    <row r="53" customFormat="false" ht="21" hidden="false" customHeight="true" outlineLevel="0" collapsed="false">
      <c r="A53" s="44" t="n">
        <v>2</v>
      </c>
      <c r="B53" s="44" t="s">
        <v>74</v>
      </c>
      <c r="C53" s="44" t="s">
        <v>98</v>
      </c>
      <c r="D53" s="45" t="s">
        <v>392</v>
      </c>
      <c r="E53" s="44" t="s">
        <v>180</v>
      </c>
      <c r="F53" s="46" t="n">
        <f aca="false">Смета!H127</f>
        <v>2</v>
      </c>
      <c r="G53" s="47" t="n">
        <v>1561.98</v>
      </c>
      <c r="H53" s="47" t="n">
        <f aca="false">ROUND(F53*G53,2)</f>
        <v>3123.96</v>
      </c>
      <c r="I53" s="45" t="s">
        <v>738</v>
      </c>
      <c r="J53" s="44" t="str">
        <f aca="false">Смета!S127</f>
        <v>УЧТЕНО</v>
      </c>
      <c r="K53" s="45" t="s">
        <v>393</v>
      </c>
      <c r="L53" s="1" t="s">
        <v>59</v>
      </c>
    </row>
    <row r="54" customFormat="false" ht="21" hidden="false" customHeight="true" outlineLevel="0" collapsed="false">
      <c r="A54" s="44" t="n">
        <v>2</v>
      </c>
      <c r="B54" s="44" t="s">
        <v>74</v>
      </c>
      <c r="C54" s="44" t="s">
        <v>101</v>
      </c>
      <c r="D54" s="45" t="s">
        <v>394</v>
      </c>
      <c r="E54" s="44" t="s">
        <v>180</v>
      </c>
      <c r="F54" s="46" t="n">
        <f aca="false">Смета!H128</f>
        <v>3</v>
      </c>
      <c r="G54" s="47" t="n">
        <v>2347.87</v>
      </c>
      <c r="H54" s="47" t="n">
        <f aca="false">ROUND(F54*G54,2)</f>
        <v>7043.61</v>
      </c>
      <c r="I54" s="45" t="s">
        <v>738</v>
      </c>
      <c r="J54" s="44" t="str">
        <f aca="false">Смета!S128</f>
        <v>УЧТЕНО</v>
      </c>
      <c r="K54" s="45" t="s">
        <v>395</v>
      </c>
      <c r="L54" s="1" t="s">
        <v>59</v>
      </c>
    </row>
    <row r="55" customFormat="false" ht="21" hidden="false" customHeight="true" outlineLevel="0" collapsed="false">
      <c r="A55" s="44" t="n">
        <v>2</v>
      </c>
      <c r="B55" s="44" t="s">
        <v>74</v>
      </c>
      <c r="C55" s="44" t="s">
        <v>104</v>
      </c>
      <c r="D55" s="45" t="s">
        <v>396</v>
      </c>
      <c r="E55" s="44" t="s">
        <v>180</v>
      </c>
      <c r="F55" s="46" t="n">
        <f aca="false">Смета!H129</f>
        <v>2</v>
      </c>
      <c r="G55" s="47" t="n">
        <v>2259.47</v>
      </c>
      <c r="H55" s="47" t="n">
        <f aca="false">ROUND(F55*G55,2)</f>
        <v>4518.94</v>
      </c>
      <c r="I55" s="45" t="s">
        <v>738</v>
      </c>
      <c r="J55" s="44" t="str">
        <f aca="false">Смета!S129</f>
        <v>УЧТЕНО</v>
      </c>
      <c r="K55" s="45" t="s">
        <v>397</v>
      </c>
      <c r="L55" s="1" t="s">
        <v>59</v>
      </c>
    </row>
    <row r="56" customFormat="false" ht="21" hidden="false" customHeight="true" outlineLevel="0" collapsed="false">
      <c r="A56" s="44" t="n">
        <v>2</v>
      </c>
      <c r="B56" s="44" t="s">
        <v>74</v>
      </c>
      <c r="C56" s="44" t="s">
        <v>107</v>
      </c>
      <c r="D56" s="45" t="s">
        <v>398</v>
      </c>
      <c r="E56" s="44" t="s">
        <v>180</v>
      </c>
      <c r="F56" s="46" t="n">
        <f aca="false">Смета!H130</f>
        <v>2</v>
      </c>
      <c r="G56" s="47" t="n">
        <v>2848.9</v>
      </c>
      <c r="H56" s="47" t="n">
        <f aca="false">ROUND(F56*G56,2)</f>
        <v>5697.8</v>
      </c>
      <c r="I56" s="45" t="s">
        <v>738</v>
      </c>
      <c r="J56" s="44" t="str">
        <f aca="false">Смета!S130</f>
        <v>УЧТЕНО</v>
      </c>
      <c r="K56" s="45" t="s">
        <v>399</v>
      </c>
      <c r="L56" s="1" t="s">
        <v>59</v>
      </c>
    </row>
    <row r="57" customFormat="false" ht="21" hidden="false" customHeight="true" outlineLevel="0" collapsed="false">
      <c r="A57" s="44" t="n">
        <v>2</v>
      </c>
      <c r="B57" s="44" t="s">
        <v>74</v>
      </c>
      <c r="C57" s="44" t="s">
        <v>110</v>
      </c>
      <c r="D57" s="45" t="s">
        <v>211</v>
      </c>
      <c r="E57" s="44" t="s">
        <v>212</v>
      </c>
      <c r="F57" s="46" t="n">
        <f aca="false">Смета!H131</f>
        <v>1</v>
      </c>
      <c r="G57" s="47" t="n">
        <f aca="false">ROUND(SUMIFS($H$49:$H$56,$L$49:$L$56,L57,$J$49:$J$56,J57)*2%,2)</f>
        <v>2949.41</v>
      </c>
      <c r="H57" s="47" t="n">
        <f aca="false">ROUND(F57*G57,2)</f>
        <v>2949.41</v>
      </c>
      <c r="I57" s="45" t="s">
        <v>740</v>
      </c>
      <c r="J57" s="44" t="str">
        <f aca="false">Смета!S131</f>
        <v>УЧТЕНО</v>
      </c>
      <c r="K57" s="45" t="s">
        <v>400</v>
      </c>
      <c r="L57" s="1" t="s">
        <v>59</v>
      </c>
    </row>
    <row r="58" customFormat="false" ht="21" hidden="false" customHeight="true" outlineLevel="0" collapsed="false">
      <c r="A58" s="44" t="n">
        <v>2</v>
      </c>
      <c r="B58" s="44" t="s">
        <v>225</v>
      </c>
      <c r="C58" s="44" t="s">
        <v>234</v>
      </c>
      <c r="D58" s="45" t="s">
        <v>414</v>
      </c>
      <c r="E58" s="44" t="s">
        <v>349</v>
      </c>
      <c r="F58" s="46" t="n">
        <f aca="false">Смета!H140</f>
        <v>122</v>
      </c>
      <c r="G58" s="47" t="n">
        <v>156</v>
      </c>
      <c r="H58" s="47" t="n">
        <f aca="false">ROUND(F58*G58,2)</f>
        <v>19032</v>
      </c>
      <c r="I58" s="45" t="s">
        <v>738</v>
      </c>
      <c r="J58" s="44" t="str">
        <f aca="false">Смета!S140</f>
        <v>УЧТЕНО</v>
      </c>
      <c r="K58" s="45" t="s">
        <v>415</v>
      </c>
      <c r="L58" s="1" t="s">
        <v>59</v>
      </c>
    </row>
    <row r="59" customFormat="false" ht="21" hidden="false" customHeight="true" outlineLevel="0" collapsed="false">
      <c r="A59" s="44" t="n">
        <v>2</v>
      </c>
      <c r="B59" s="44" t="s">
        <v>225</v>
      </c>
      <c r="C59" s="44" t="s">
        <v>237</v>
      </c>
      <c r="D59" s="45" t="s">
        <v>416</v>
      </c>
      <c r="E59" s="44" t="s">
        <v>116</v>
      </c>
      <c r="F59" s="46" t="n">
        <f aca="false">Смета!H141</f>
        <v>0.241</v>
      </c>
      <c r="G59" s="47" t="n">
        <v>74160</v>
      </c>
      <c r="H59" s="47" t="n">
        <f aca="false">ROUND(F59*G59,2)</f>
        <v>17872.56</v>
      </c>
      <c r="I59" s="45" t="s">
        <v>729</v>
      </c>
      <c r="J59" s="44" t="str">
        <f aca="false">Смета!S141</f>
        <v>УЧТЕНО</v>
      </c>
      <c r="K59" s="45" t="s">
        <v>743</v>
      </c>
      <c r="L59" s="1" t="s">
        <v>59</v>
      </c>
    </row>
    <row r="60" customFormat="false" ht="21" hidden="false" customHeight="true" outlineLevel="0" collapsed="false">
      <c r="A60" s="44" t="n">
        <v>2</v>
      </c>
      <c r="B60" s="44" t="s">
        <v>225</v>
      </c>
      <c r="C60" s="44" t="s">
        <v>240</v>
      </c>
      <c r="D60" s="45" t="s">
        <v>418</v>
      </c>
      <c r="E60" s="44" t="s">
        <v>116</v>
      </c>
      <c r="F60" s="46" t="n">
        <f aca="false">Смета!H142</f>
        <v>0.151</v>
      </c>
      <c r="G60" s="47" t="n">
        <v>74160</v>
      </c>
      <c r="H60" s="47" t="n">
        <f aca="false">ROUND(F60*G60,2)</f>
        <v>11198.16</v>
      </c>
      <c r="I60" s="45" t="s">
        <v>729</v>
      </c>
      <c r="J60" s="44" t="str">
        <f aca="false">Смета!S142</f>
        <v>УЧТЕНО</v>
      </c>
      <c r="K60" s="45" t="s">
        <v>744</v>
      </c>
      <c r="L60" s="1" t="s">
        <v>59</v>
      </c>
    </row>
    <row r="61" customFormat="false" ht="21" hidden="false" customHeight="true" outlineLevel="0" collapsed="false">
      <c r="A61" s="44" t="n">
        <v>2</v>
      </c>
      <c r="B61" s="44" t="s">
        <v>225</v>
      </c>
      <c r="C61" s="44" t="s">
        <v>243</v>
      </c>
      <c r="D61" s="45" t="s">
        <v>420</v>
      </c>
      <c r="E61" s="44" t="s">
        <v>87</v>
      </c>
      <c r="F61" s="46" t="n">
        <f aca="false">Смета!H143</f>
        <v>9.5</v>
      </c>
      <c r="G61" s="47" t="n">
        <v>4483.2</v>
      </c>
      <c r="H61" s="47" t="n">
        <f aca="false">ROUND(F61*G61,2)</f>
        <v>42590.4</v>
      </c>
      <c r="I61" s="45" t="s">
        <v>729</v>
      </c>
      <c r="J61" s="44" t="str">
        <f aca="false">Смета!S143</f>
        <v>УЧТЕНО</v>
      </c>
      <c r="K61" s="45" t="s">
        <v>745</v>
      </c>
      <c r="L61" s="1" t="s">
        <v>59</v>
      </c>
    </row>
    <row r="62" customFormat="false" ht="21" hidden="false" customHeight="true" outlineLevel="0" collapsed="false">
      <c r="A62" s="44" t="n">
        <v>2</v>
      </c>
      <c r="B62" s="44" t="s">
        <v>225</v>
      </c>
      <c r="C62" s="44" t="s">
        <v>246</v>
      </c>
      <c r="D62" s="45" t="s">
        <v>422</v>
      </c>
      <c r="E62" s="44" t="s">
        <v>116</v>
      </c>
      <c r="F62" s="46" t="n">
        <f aca="false">Смета!H144</f>
        <v>0.01</v>
      </c>
      <c r="G62" s="47" t="n">
        <v>158080.32</v>
      </c>
      <c r="H62" s="47" t="n">
        <f aca="false">ROUND(F62*G62,2)</f>
        <v>1580.8</v>
      </c>
      <c r="I62" s="45" t="s">
        <v>729</v>
      </c>
      <c r="J62" s="44" t="str">
        <f aca="false">Смета!S144</f>
        <v>УЧТЕНО</v>
      </c>
      <c r="K62" s="45" t="s">
        <v>423</v>
      </c>
      <c r="L62" s="1" t="s">
        <v>59</v>
      </c>
    </row>
    <row r="63" customFormat="false" ht="27.75" hidden="false" customHeight="true" outlineLevel="0" collapsed="false">
      <c r="A63" s="44" t="n">
        <v>2</v>
      </c>
      <c r="B63" s="44" t="s">
        <v>225</v>
      </c>
      <c r="C63" s="44" t="s">
        <v>248</v>
      </c>
      <c r="D63" s="45" t="s">
        <v>424</v>
      </c>
      <c r="E63" s="44" t="s">
        <v>87</v>
      </c>
      <c r="F63" s="46" t="n">
        <f aca="false">Смета!H145</f>
        <v>1.91</v>
      </c>
      <c r="G63" s="47" t="n">
        <v>26400</v>
      </c>
      <c r="H63" s="47" t="n">
        <f aca="false">ROUND(F63*G63,2)</f>
        <v>50424</v>
      </c>
      <c r="I63" s="45" t="s">
        <v>733</v>
      </c>
      <c r="J63" s="44" t="str">
        <f aca="false">Смета!S145</f>
        <v>УЧТЕНО</v>
      </c>
      <c r="K63" s="45" t="s">
        <v>425</v>
      </c>
      <c r="L63" s="1" t="s">
        <v>59</v>
      </c>
    </row>
    <row r="64" customFormat="false" ht="21" hidden="false" customHeight="true" outlineLevel="0" collapsed="false">
      <c r="A64" s="44" t="n">
        <v>2</v>
      </c>
      <c r="B64" s="44" t="s">
        <v>225</v>
      </c>
      <c r="C64" s="44" t="s">
        <v>250</v>
      </c>
      <c r="D64" s="45" t="s">
        <v>426</v>
      </c>
      <c r="E64" s="44" t="s">
        <v>427</v>
      </c>
      <c r="F64" s="46" t="n">
        <f aca="false">Смета!H146</f>
        <v>5</v>
      </c>
      <c r="G64" s="47" t="n">
        <v>758.4</v>
      </c>
      <c r="H64" s="47" t="n">
        <f aca="false">ROUND(F64*G64,2)</f>
        <v>3792</v>
      </c>
      <c r="I64" s="45" t="s">
        <v>738</v>
      </c>
      <c r="J64" s="44" t="str">
        <f aca="false">Смета!S146</f>
        <v>УЧТЕНО</v>
      </c>
      <c r="K64" s="45" t="s">
        <v>428</v>
      </c>
      <c r="L64" s="1" t="s">
        <v>59</v>
      </c>
    </row>
    <row r="65" customFormat="false" ht="21" hidden="false" customHeight="true" outlineLevel="0" collapsed="false">
      <c r="A65" s="44" t="n">
        <v>2</v>
      </c>
      <c r="B65" s="44" t="s">
        <v>225</v>
      </c>
      <c r="C65" s="44" t="s">
        <v>252</v>
      </c>
      <c r="D65" s="45" t="s">
        <v>211</v>
      </c>
      <c r="E65" s="44" t="s">
        <v>212</v>
      </c>
      <c r="F65" s="46" t="n">
        <f aca="false">Смета!H147</f>
        <v>1</v>
      </c>
      <c r="G65" s="47" t="n">
        <f aca="false">ROUND(SUMIFS($H$58:$H$64,$L$58:$L$64,L65,$J$58:$J$64,J65)*2%,2)</f>
        <v>2929.8</v>
      </c>
      <c r="H65" s="47" t="n">
        <f aca="false">ROUND(F65*G65,2)</f>
        <v>2929.8</v>
      </c>
      <c r="I65" s="45" t="s">
        <v>740</v>
      </c>
      <c r="J65" s="44" t="str">
        <f aca="false">Смета!S147</f>
        <v>УЧТЕНО</v>
      </c>
      <c r="K65" s="45" t="s">
        <v>429</v>
      </c>
      <c r="L65" s="1" t="s">
        <v>59</v>
      </c>
    </row>
    <row r="66" customFormat="false" ht="21" hidden="false" customHeight="true" outlineLevel="0" collapsed="false">
      <c r="A66" s="44" t="n">
        <v>2</v>
      </c>
      <c r="B66" s="44" t="s">
        <v>263</v>
      </c>
      <c r="C66" s="44" t="s">
        <v>276</v>
      </c>
      <c r="D66" s="45" t="s">
        <v>445</v>
      </c>
      <c r="E66" s="44" t="s">
        <v>116</v>
      </c>
      <c r="F66" s="46" t="n">
        <f aca="false">Смета!H157</f>
        <v>0.328</v>
      </c>
      <c r="G66" s="47" t="n">
        <v>72240</v>
      </c>
      <c r="H66" s="47" t="n">
        <f aca="false">ROUND(F66*G66,2)</f>
        <v>23694.72</v>
      </c>
      <c r="I66" s="45" t="s">
        <v>729</v>
      </c>
      <c r="J66" s="44" t="str">
        <f aca="false">Смета!S157</f>
        <v>УЧТЕНО</v>
      </c>
      <c r="K66" s="45" t="s">
        <v>746</v>
      </c>
      <c r="L66" s="1" t="s">
        <v>59</v>
      </c>
    </row>
    <row r="67" customFormat="false" ht="21" hidden="false" customHeight="true" outlineLevel="0" collapsed="false">
      <c r="A67" s="44" t="n">
        <v>2</v>
      </c>
      <c r="B67" s="44" t="s">
        <v>263</v>
      </c>
      <c r="C67" s="44" t="s">
        <v>279</v>
      </c>
      <c r="D67" s="45" t="s">
        <v>447</v>
      </c>
      <c r="E67" s="44" t="s">
        <v>116</v>
      </c>
      <c r="F67" s="46" t="n">
        <f aca="false">Смета!H158</f>
        <v>14.544</v>
      </c>
      <c r="G67" s="47" t="n">
        <v>72240</v>
      </c>
      <c r="H67" s="47" t="n">
        <f aca="false">ROUND(F67*G67,2)</f>
        <v>1050658.56</v>
      </c>
      <c r="I67" s="45" t="s">
        <v>729</v>
      </c>
      <c r="J67" s="44" t="str">
        <f aca="false">Смета!S158</f>
        <v>УЧТЕНО</v>
      </c>
      <c r="K67" s="45" t="s">
        <v>747</v>
      </c>
      <c r="L67" s="1" t="s">
        <v>59</v>
      </c>
    </row>
    <row r="68" customFormat="false" ht="21" hidden="false" customHeight="true" outlineLevel="0" collapsed="false">
      <c r="A68" s="44" t="n">
        <v>2</v>
      </c>
      <c r="B68" s="44" t="s">
        <v>263</v>
      </c>
      <c r="C68" s="44" t="s">
        <v>449</v>
      </c>
      <c r="D68" s="45" t="s">
        <v>450</v>
      </c>
      <c r="E68" s="44" t="s">
        <v>116</v>
      </c>
      <c r="F68" s="46" t="n">
        <f aca="false">Смета!H159</f>
        <v>0.02</v>
      </c>
      <c r="G68" s="47" t="n">
        <v>73680</v>
      </c>
      <c r="H68" s="47" t="n">
        <f aca="false">ROUND(F68*G68,2)</f>
        <v>1473.6</v>
      </c>
      <c r="I68" s="45" t="s">
        <v>729</v>
      </c>
      <c r="J68" s="44" t="str">
        <f aca="false">Смета!S159</f>
        <v>УЧТЕНО</v>
      </c>
      <c r="K68" s="45" t="s">
        <v>748</v>
      </c>
      <c r="L68" s="1" t="s">
        <v>59</v>
      </c>
    </row>
    <row r="69" customFormat="false" ht="21" hidden="false" customHeight="true" outlineLevel="0" collapsed="false">
      <c r="A69" s="44" t="n">
        <v>2</v>
      </c>
      <c r="B69" s="44" t="s">
        <v>263</v>
      </c>
      <c r="C69" s="44" t="s">
        <v>452</v>
      </c>
      <c r="D69" s="45" t="s">
        <v>453</v>
      </c>
      <c r="E69" s="44" t="s">
        <v>116</v>
      </c>
      <c r="F69" s="46" t="n">
        <f aca="false">Смета!H160</f>
        <v>0.02</v>
      </c>
      <c r="G69" s="47" t="n">
        <v>158079.84</v>
      </c>
      <c r="H69" s="47" t="n">
        <f aca="false">ROUND(F69*G69,2)</f>
        <v>3161.6</v>
      </c>
      <c r="I69" s="45" t="s">
        <v>729</v>
      </c>
      <c r="J69" s="44" t="str">
        <f aca="false">Смета!S160</f>
        <v>УЧТЕНО</v>
      </c>
      <c r="K69" s="45" t="s">
        <v>454</v>
      </c>
      <c r="L69" s="1" t="s">
        <v>59</v>
      </c>
    </row>
    <row r="70" customFormat="false" ht="21" hidden="false" customHeight="true" outlineLevel="0" collapsed="false">
      <c r="A70" s="44" t="n">
        <v>2</v>
      </c>
      <c r="B70" s="44" t="s">
        <v>263</v>
      </c>
      <c r="C70" s="44" t="s">
        <v>455</v>
      </c>
      <c r="D70" s="45" t="s">
        <v>456</v>
      </c>
      <c r="E70" s="44" t="s">
        <v>87</v>
      </c>
      <c r="F70" s="46" t="n">
        <f aca="false">Смета!H161</f>
        <v>24.5</v>
      </c>
      <c r="G70" s="47" t="n">
        <v>4483.2</v>
      </c>
      <c r="H70" s="47" t="n">
        <f aca="false">ROUND(F70*G70,2)</f>
        <v>109838.4</v>
      </c>
      <c r="I70" s="45" t="s">
        <v>729</v>
      </c>
      <c r="J70" s="44" t="str">
        <f aca="false">Смета!S161</f>
        <v>УЧТЕНО</v>
      </c>
      <c r="K70" s="45" t="s">
        <v>749</v>
      </c>
      <c r="L70" s="1" t="s">
        <v>59</v>
      </c>
    </row>
    <row r="71" customFormat="false" ht="21" hidden="false" customHeight="true" outlineLevel="0" collapsed="false">
      <c r="A71" s="44" t="n">
        <v>2</v>
      </c>
      <c r="B71" s="44" t="s">
        <v>263</v>
      </c>
      <c r="C71" s="44" t="s">
        <v>458</v>
      </c>
      <c r="D71" s="45" t="s">
        <v>459</v>
      </c>
      <c r="E71" s="44" t="s">
        <v>460</v>
      </c>
      <c r="F71" s="46" t="n">
        <f aca="false">Смета!H162</f>
        <v>2</v>
      </c>
      <c r="G71" s="47" t="n">
        <v>788.4</v>
      </c>
      <c r="H71" s="47" t="n">
        <f aca="false">ROUND(F71*G71,2)</f>
        <v>1576.8</v>
      </c>
      <c r="I71" s="45" t="s">
        <v>738</v>
      </c>
      <c r="J71" s="44" t="str">
        <f aca="false">Смета!S162</f>
        <v>УЧТЕНО</v>
      </c>
      <c r="K71" s="45" t="s">
        <v>461</v>
      </c>
      <c r="L71" s="1" t="s">
        <v>59</v>
      </c>
    </row>
    <row r="72" customFormat="false" ht="27.75" hidden="false" customHeight="true" outlineLevel="0" collapsed="false">
      <c r="A72" s="44" t="n">
        <v>2</v>
      </c>
      <c r="B72" s="44" t="s">
        <v>263</v>
      </c>
      <c r="C72" s="44" t="s">
        <v>462</v>
      </c>
      <c r="D72" s="45" t="s">
        <v>463</v>
      </c>
      <c r="E72" s="44" t="s">
        <v>180</v>
      </c>
      <c r="F72" s="46" t="n">
        <f aca="false">Смета!H163</f>
        <v>16</v>
      </c>
      <c r="G72" s="47" t="n">
        <v>252</v>
      </c>
      <c r="H72" s="47" t="n">
        <f aca="false">ROUND(F72*G72,2)</f>
        <v>4032</v>
      </c>
      <c r="I72" s="45" t="s">
        <v>738</v>
      </c>
      <c r="J72" s="44" t="str">
        <f aca="false">Смета!S163</f>
        <v>УЧТЕНО</v>
      </c>
      <c r="K72" s="45" t="s">
        <v>464</v>
      </c>
      <c r="L72" s="1" t="s">
        <v>59</v>
      </c>
    </row>
    <row r="73" customFormat="false" ht="21" hidden="false" customHeight="true" outlineLevel="0" collapsed="false">
      <c r="A73" s="44" t="n">
        <v>2</v>
      </c>
      <c r="B73" s="44" t="s">
        <v>263</v>
      </c>
      <c r="C73" s="44" t="s">
        <v>469</v>
      </c>
      <c r="D73" s="45" t="s">
        <v>470</v>
      </c>
      <c r="E73" s="44" t="s">
        <v>87</v>
      </c>
      <c r="F73" s="46" t="n">
        <f aca="false">Смета!H165</f>
        <v>0.5</v>
      </c>
      <c r="G73" s="47" t="n">
        <v>26400</v>
      </c>
      <c r="H73" s="47" t="n">
        <f aca="false">ROUND(F73*G73,2)</f>
        <v>13200</v>
      </c>
      <c r="I73" s="45" t="s">
        <v>733</v>
      </c>
      <c r="J73" s="44" t="str">
        <f aca="false">Смета!S165</f>
        <v>УЧТЕНО</v>
      </c>
      <c r="K73" s="45" t="s">
        <v>471</v>
      </c>
      <c r="L73" s="1" t="s">
        <v>59</v>
      </c>
    </row>
    <row r="74" customFormat="false" ht="27.75" hidden="false" customHeight="true" outlineLevel="0" collapsed="false">
      <c r="A74" s="44" t="n">
        <v>2</v>
      </c>
      <c r="B74" s="44" t="s">
        <v>263</v>
      </c>
      <c r="C74" s="44" t="s">
        <v>472</v>
      </c>
      <c r="D74" s="45" t="s">
        <v>473</v>
      </c>
      <c r="E74" s="44" t="s">
        <v>80</v>
      </c>
      <c r="F74" s="46" t="n">
        <f aca="false">Смета!H166</f>
        <v>78</v>
      </c>
      <c r="G74" s="47" t="n">
        <v>1368</v>
      </c>
      <c r="H74" s="47" t="n">
        <f aca="false">ROUND(F74*G74,2)</f>
        <v>106704</v>
      </c>
      <c r="I74" s="45" t="s">
        <v>733</v>
      </c>
      <c r="J74" s="44" t="str">
        <f aca="false">Смета!S166</f>
        <v>УЧТЕНО</v>
      </c>
      <c r="K74" s="45" t="s">
        <v>474</v>
      </c>
      <c r="L74" s="1" t="s">
        <v>59</v>
      </c>
    </row>
    <row r="75" customFormat="false" ht="21" hidden="false" customHeight="true" outlineLevel="0" collapsed="false">
      <c r="A75" s="44" t="n">
        <v>2</v>
      </c>
      <c r="B75" s="44" t="s">
        <v>263</v>
      </c>
      <c r="C75" s="44" t="s">
        <v>475</v>
      </c>
      <c r="D75" s="45" t="s">
        <v>476</v>
      </c>
      <c r="E75" s="44" t="s">
        <v>190</v>
      </c>
      <c r="F75" s="46" t="n">
        <f aca="false">Смета!H167</f>
        <v>16</v>
      </c>
      <c r="G75" s="47" t="n">
        <v>960.29</v>
      </c>
      <c r="H75" s="47" t="n">
        <f aca="false">ROUND(F75*G75,2)</f>
        <v>15364.64</v>
      </c>
      <c r="I75" s="45" t="s">
        <v>738</v>
      </c>
      <c r="J75" s="44" t="str">
        <f aca="false">Смета!S167</f>
        <v>УЧТЕНО</v>
      </c>
      <c r="K75" s="45" t="s">
        <v>477</v>
      </c>
      <c r="L75" s="1" t="s">
        <v>59</v>
      </c>
    </row>
    <row r="76" customFormat="false" ht="21" hidden="false" customHeight="true" outlineLevel="0" collapsed="false">
      <c r="A76" s="44" t="n">
        <v>2</v>
      </c>
      <c r="B76" s="44" t="s">
        <v>263</v>
      </c>
      <c r="C76" s="44" t="s">
        <v>478</v>
      </c>
      <c r="D76" s="45" t="s">
        <v>211</v>
      </c>
      <c r="E76" s="44" t="s">
        <v>212</v>
      </c>
      <c r="F76" s="46" t="n">
        <f aca="false">Смета!H168</f>
        <v>1</v>
      </c>
      <c r="G76" s="47" t="n">
        <f aca="false">ROUND(SUMIFS($H$66:$H$75,$L$66:$L$75,L76,$J$66:$J$75,J76)*2%,2)</f>
        <v>26594.09</v>
      </c>
      <c r="H76" s="47" t="n">
        <f aca="false">ROUND(F76*G76,2)</f>
        <v>26594.09</v>
      </c>
      <c r="I76" s="45" t="s">
        <v>740</v>
      </c>
      <c r="J76" s="44" t="str">
        <f aca="false">Смета!S168</f>
        <v>УЧТЕНО</v>
      </c>
      <c r="K76" s="45" t="s">
        <v>479</v>
      </c>
      <c r="L76" s="1" t="s">
        <v>59</v>
      </c>
    </row>
    <row r="77" customFormat="false" ht="21" hidden="false" customHeight="true" outlineLevel="0" collapsed="false">
      <c r="A77" s="44" t="n">
        <v>2</v>
      </c>
      <c r="B77" s="44" t="s">
        <v>490</v>
      </c>
      <c r="C77" s="44" t="s">
        <v>497</v>
      </c>
      <c r="D77" s="45" t="s">
        <v>414</v>
      </c>
      <c r="E77" s="44" t="s">
        <v>349</v>
      </c>
      <c r="F77" s="46" t="n">
        <f aca="false">Смета!H177</f>
        <v>90</v>
      </c>
      <c r="G77" s="47" t="n">
        <v>156</v>
      </c>
      <c r="H77" s="47" t="n">
        <f aca="false">ROUND(F77*G77,2)</f>
        <v>14040</v>
      </c>
      <c r="I77" s="45" t="s">
        <v>738</v>
      </c>
      <c r="J77" s="44" t="str">
        <f aca="false">Смета!S177</f>
        <v>УЧТЕНО</v>
      </c>
      <c r="K77" s="45" t="s">
        <v>750</v>
      </c>
      <c r="L77" s="1" t="s">
        <v>59</v>
      </c>
    </row>
    <row r="78" customFormat="false" ht="21" hidden="false" customHeight="true" outlineLevel="0" collapsed="false">
      <c r="A78" s="44" t="n">
        <v>2</v>
      </c>
      <c r="B78" s="44" t="s">
        <v>490</v>
      </c>
      <c r="C78" s="44" t="s">
        <v>499</v>
      </c>
      <c r="D78" s="45" t="s">
        <v>500</v>
      </c>
      <c r="E78" s="44" t="s">
        <v>116</v>
      </c>
      <c r="F78" s="46" t="n">
        <f aca="false">Смета!H178</f>
        <v>0.09</v>
      </c>
      <c r="G78" s="47" t="n">
        <v>74160</v>
      </c>
      <c r="H78" s="47" t="n">
        <f aca="false">ROUND(F78*G78,2)</f>
        <v>6674.4</v>
      </c>
      <c r="I78" s="45" t="s">
        <v>729</v>
      </c>
      <c r="J78" s="44" t="str">
        <f aca="false">Смета!S178</f>
        <v>УЧТЕНО</v>
      </c>
      <c r="K78" s="45" t="s">
        <v>751</v>
      </c>
      <c r="L78" s="1" t="s">
        <v>59</v>
      </c>
    </row>
    <row r="79" customFormat="false" ht="21" hidden="false" customHeight="true" outlineLevel="0" collapsed="false">
      <c r="A79" s="44" t="n">
        <v>2</v>
      </c>
      <c r="B79" s="44" t="s">
        <v>490</v>
      </c>
      <c r="C79" s="44" t="s">
        <v>502</v>
      </c>
      <c r="D79" s="45" t="s">
        <v>503</v>
      </c>
      <c r="E79" s="44" t="s">
        <v>116</v>
      </c>
      <c r="F79" s="46" t="n">
        <f aca="false">Смета!H179</f>
        <v>0.161</v>
      </c>
      <c r="G79" s="47" t="n">
        <v>74160</v>
      </c>
      <c r="H79" s="47" t="n">
        <f aca="false">ROUND(F79*G79,2)</f>
        <v>11939.76</v>
      </c>
      <c r="I79" s="45" t="s">
        <v>729</v>
      </c>
      <c r="J79" s="44" t="str">
        <f aca="false">Смета!S179</f>
        <v>УЧТЕНО</v>
      </c>
      <c r="K79" s="45" t="s">
        <v>752</v>
      </c>
      <c r="L79" s="1" t="s">
        <v>59</v>
      </c>
    </row>
    <row r="80" customFormat="false" ht="21" hidden="false" customHeight="true" outlineLevel="0" collapsed="false">
      <c r="A80" s="44" t="n">
        <v>2</v>
      </c>
      <c r="B80" s="44" t="s">
        <v>490</v>
      </c>
      <c r="C80" s="44" t="s">
        <v>505</v>
      </c>
      <c r="D80" s="45" t="s">
        <v>420</v>
      </c>
      <c r="E80" s="44" t="s">
        <v>87</v>
      </c>
      <c r="F80" s="46" t="n">
        <f aca="false">Смета!H180</f>
        <v>5.5</v>
      </c>
      <c r="G80" s="47" t="n">
        <v>4483.2</v>
      </c>
      <c r="H80" s="47" t="n">
        <f aca="false">ROUND(F80*G80,2)</f>
        <v>24657.6</v>
      </c>
      <c r="I80" s="45" t="s">
        <v>729</v>
      </c>
      <c r="J80" s="44" t="str">
        <f aca="false">Смета!S180</f>
        <v>УЧТЕНО</v>
      </c>
      <c r="K80" s="45" t="s">
        <v>753</v>
      </c>
      <c r="L80" s="1" t="s">
        <v>59</v>
      </c>
    </row>
    <row r="81" customFormat="false" ht="21" hidden="false" customHeight="true" outlineLevel="0" collapsed="false">
      <c r="A81" s="44" t="n">
        <v>2</v>
      </c>
      <c r="B81" s="44" t="s">
        <v>490</v>
      </c>
      <c r="C81" s="44" t="s">
        <v>507</v>
      </c>
      <c r="D81" s="45" t="s">
        <v>422</v>
      </c>
      <c r="E81" s="44" t="s">
        <v>116</v>
      </c>
      <c r="F81" s="46" t="n">
        <f aca="false">Смета!H181</f>
        <v>0.01</v>
      </c>
      <c r="G81" s="47" t="n">
        <v>158080.32</v>
      </c>
      <c r="H81" s="47" t="n">
        <f aca="false">ROUND(F81*G81,2)</f>
        <v>1580.8</v>
      </c>
      <c r="I81" s="45" t="s">
        <v>729</v>
      </c>
      <c r="J81" s="44" t="str">
        <f aca="false">Смета!S181</f>
        <v>УЧТЕНО</v>
      </c>
      <c r="K81" s="45" t="s">
        <v>508</v>
      </c>
      <c r="L81" s="1" t="s">
        <v>59</v>
      </c>
    </row>
    <row r="82" customFormat="false" ht="27.75" hidden="false" customHeight="true" outlineLevel="0" collapsed="false">
      <c r="A82" s="44" t="n">
        <v>2</v>
      </c>
      <c r="B82" s="44" t="s">
        <v>490</v>
      </c>
      <c r="C82" s="44" t="s">
        <v>509</v>
      </c>
      <c r="D82" s="45" t="s">
        <v>424</v>
      </c>
      <c r="E82" s="44" t="s">
        <v>87</v>
      </c>
      <c r="F82" s="46" t="n">
        <f aca="false">Смета!H182</f>
        <v>1.18</v>
      </c>
      <c r="G82" s="47" t="n">
        <v>26400</v>
      </c>
      <c r="H82" s="47" t="n">
        <f aca="false">ROUND(F82*G82,2)</f>
        <v>31152</v>
      </c>
      <c r="I82" s="45" t="s">
        <v>733</v>
      </c>
      <c r="J82" s="44" t="str">
        <f aca="false">Смета!S182</f>
        <v>УЧТЕНО</v>
      </c>
      <c r="K82" s="45" t="s">
        <v>510</v>
      </c>
      <c r="L82" s="1" t="s">
        <v>59</v>
      </c>
    </row>
    <row r="83" customFormat="false" ht="21" hidden="false" customHeight="true" outlineLevel="0" collapsed="false">
      <c r="A83" s="44" t="n">
        <v>2</v>
      </c>
      <c r="B83" s="44" t="s">
        <v>490</v>
      </c>
      <c r="C83" s="44" t="s">
        <v>511</v>
      </c>
      <c r="D83" s="45" t="s">
        <v>426</v>
      </c>
      <c r="E83" s="44" t="s">
        <v>427</v>
      </c>
      <c r="F83" s="46" t="n">
        <f aca="false">Смета!H183</f>
        <v>4</v>
      </c>
      <c r="G83" s="47" t="n">
        <v>758.4</v>
      </c>
      <c r="H83" s="47" t="n">
        <f aca="false">ROUND(F83*G83,2)</f>
        <v>3033.6</v>
      </c>
      <c r="I83" s="45" t="s">
        <v>738</v>
      </c>
      <c r="J83" s="44" t="str">
        <f aca="false">Смета!S183</f>
        <v>УЧТЕНО</v>
      </c>
      <c r="K83" s="45" t="s">
        <v>512</v>
      </c>
      <c r="L83" s="1" t="s">
        <v>59</v>
      </c>
    </row>
    <row r="84" customFormat="false" ht="21" hidden="false" customHeight="true" outlineLevel="0" collapsed="false">
      <c r="A84" s="44" t="n">
        <v>2</v>
      </c>
      <c r="B84" s="44" t="s">
        <v>490</v>
      </c>
      <c r="C84" s="44" t="s">
        <v>513</v>
      </c>
      <c r="D84" s="45" t="s">
        <v>211</v>
      </c>
      <c r="E84" s="44" t="s">
        <v>212</v>
      </c>
      <c r="F84" s="46" t="n">
        <f aca="false">Смета!H184</f>
        <v>1</v>
      </c>
      <c r="G84" s="47" t="n">
        <f aca="false">ROUND(SUMIFS($H$77:$H$83,$L$77:$L$83,L84,$J$77:$J$83,J84)*2%,2)</f>
        <v>1861.56</v>
      </c>
      <c r="H84" s="47" t="n">
        <f aca="false">ROUND(F84*G84,2)</f>
        <v>1861.56</v>
      </c>
      <c r="I84" s="45" t="s">
        <v>740</v>
      </c>
      <c r="J84" s="44" t="str">
        <f aca="false">Смета!S184</f>
        <v>УЧТЕНО</v>
      </c>
      <c r="K84" s="45" t="s">
        <v>514</v>
      </c>
      <c r="L84" s="1" t="s">
        <v>59</v>
      </c>
    </row>
    <row r="85" customFormat="false" ht="27.75" hidden="false" customHeight="true" outlineLevel="0" collapsed="false">
      <c r="A85" s="44" t="n">
        <v>2</v>
      </c>
      <c r="B85" s="44" t="s">
        <v>524</v>
      </c>
      <c r="C85" s="44" t="s">
        <v>528</v>
      </c>
      <c r="D85" s="45" t="s">
        <v>339</v>
      </c>
      <c r="E85" s="44" t="s">
        <v>180</v>
      </c>
      <c r="F85" s="46" t="n">
        <f aca="false">Смета!H191</f>
        <v>5460</v>
      </c>
      <c r="G85" s="47" t="n">
        <v>29.4</v>
      </c>
      <c r="H85" s="47" t="n">
        <f aca="false">ROUND(F85*G85,2)</f>
        <v>160524</v>
      </c>
      <c r="I85" s="45" t="s">
        <v>738</v>
      </c>
      <c r="J85" s="44" t="str">
        <f aca="false">Смета!S191</f>
        <v>УЧТЕНО</v>
      </c>
      <c r="K85" s="45" t="s">
        <v>529</v>
      </c>
      <c r="L85" s="1" t="s">
        <v>59</v>
      </c>
    </row>
    <row r="86" customFormat="false" ht="21" hidden="false" customHeight="true" outlineLevel="0" collapsed="false">
      <c r="A86" s="44" t="n">
        <v>2</v>
      </c>
      <c r="B86" s="44" t="s">
        <v>524</v>
      </c>
      <c r="C86" s="44" t="s">
        <v>530</v>
      </c>
      <c r="D86" s="45" t="s">
        <v>345</v>
      </c>
      <c r="E86" s="44" t="s">
        <v>116</v>
      </c>
      <c r="F86" s="46" t="n">
        <f aca="false">Смета!H192</f>
        <v>5.43</v>
      </c>
      <c r="G86" s="47" t="n">
        <v>1200</v>
      </c>
      <c r="H86" s="47" t="n">
        <f aca="false">ROUND(F86*G86,2)</f>
        <v>6516</v>
      </c>
      <c r="I86" s="45" t="s">
        <v>733</v>
      </c>
      <c r="J86" s="44" t="str">
        <f aca="false">Смета!S192</f>
        <v>УЧТЕНО</v>
      </c>
      <c r="K86" s="45" t="s">
        <v>531</v>
      </c>
      <c r="L86" s="1" t="s">
        <v>59</v>
      </c>
    </row>
    <row r="87" customFormat="false" ht="21" hidden="false" customHeight="true" outlineLevel="0" collapsed="false">
      <c r="A87" s="44" t="n">
        <v>2</v>
      </c>
      <c r="B87" s="44" t="s">
        <v>524</v>
      </c>
      <c r="C87" s="44" t="s">
        <v>532</v>
      </c>
      <c r="D87" s="45" t="s">
        <v>348</v>
      </c>
      <c r="E87" s="44" t="s">
        <v>349</v>
      </c>
      <c r="F87" s="46" t="n">
        <f aca="false">Смета!H193</f>
        <v>40</v>
      </c>
      <c r="G87" s="47" t="n">
        <v>650.4</v>
      </c>
      <c r="H87" s="47" t="n">
        <f aca="false">ROUND(F87*G87,2)</f>
        <v>26016</v>
      </c>
      <c r="I87" s="45" t="s">
        <v>738</v>
      </c>
      <c r="J87" s="44" t="str">
        <f aca="false">Смета!S193</f>
        <v>УЧТЕНО</v>
      </c>
      <c r="K87" s="45" t="s">
        <v>533</v>
      </c>
      <c r="L87" s="1" t="s">
        <v>59</v>
      </c>
    </row>
    <row r="88" customFormat="false" ht="27.75" hidden="false" customHeight="true" outlineLevel="0" collapsed="false">
      <c r="A88" s="44" t="n">
        <v>2</v>
      </c>
      <c r="B88" s="44" t="s">
        <v>524</v>
      </c>
      <c r="C88" s="44" t="s">
        <v>534</v>
      </c>
      <c r="D88" s="45" t="s">
        <v>215</v>
      </c>
      <c r="E88" s="44" t="s">
        <v>212</v>
      </c>
      <c r="F88" s="46" t="n">
        <f aca="false">Смета!H194</f>
        <v>1</v>
      </c>
      <c r="G88" s="47" t="n">
        <f aca="false">ROUND(SUMIFS($H$85:$H$87,$L$85:$L$87,L88,$J$85:$J$87,J88)*2%,2)</f>
        <v>3861.12</v>
      </c>
      <c r="H88" s="47" t="n">
        <f aca="false">ROUND(F88*G88,2)</f>
        <v>3861.12</v>
      </c>
      <c r="I88" s="45" t="s">
        <v>740</v>
      </c>
      <c r="J88" s="44" t="str">
        <f aca="false">Смета!S194</f>
        <v>УЧТЕНО</v>
      </c>
      <c r="K88" s="45" t="s">
        <v>535</v>
      </c>
      <c r="L88" s="1" t="s">
        <v>59</v>
      </c>
    </row>
    <row r="89" customFormat="false" ht="27.75" hidden="false" customHeight="true" outlineLevel="0" collapsed="false">
      <c r="A89" s="44" t="n">
        <v>3</v>
      </c>
      <c r="B89" s="44" t="s">
        <v>54</v>
      </c>
      <c r="C89" s="44" t="s">
        <v>61</v>
      </c>
      <c r="D89" s="45" t="s">
        <v>544</v>
      </c>
      <c r="E89" s="44" t="s">
        <v>545</v>
      </c>
      <c r="F89" s="46" t="n">
        <f aca="false">Смета!H201</f>
        <v>2</v>
      </c>
      <c r="G89" s="47" t="n">
        <v>68514</v>
      </c>
      <c r="H89" s="47" t="n">
        <f aca="false">ROUND(F89*G89,2)</f>
        <v>137028</v>
      </c>
      <c r="I89" s="45" t="s">
        <v>733</v>
      </c>
      <c r="J89" s="44" t="str">
        <f aca="false">Смета!S201</f>
        <v>УЧТЕНО</v>
      </c>
      <c r="K89" s="45" t="s">
        <v>546</v>
      </c>
      <c r="L89" s="1" t="s">
        <v>59</v>
      </c>
    </row>
    <row r="90" customFormat="false" ht="27.75" hidden="false" customHeight="true" outlineLevel="0" collapsed="false">
      <c r="A90" s="44" t="n">
        <v>3</v>
      </c>
      <c r="B90" s="44" t="s">
        <v>54</v>
      </c>
      <c r="C90" s="44" t="s">
        <v>65</v>
      </c>
      <c r="D90" s="45" t="s">
        <v>547</v>
      </c>
      <c r="E90" s="44" t="s">
        <v>176</v>
      </c>
      <c r="F90" s="46" t="n">
        <f aca="false">Смета!H202</f>
        <v>1</v>
      </c>
      <c r="G90" s="47" t="n">
        <v>25200</v>
      </c>
      <c r="H90" s="47" t="n">
        <f aca="false">ROUND(F90*G90,2)</f>
        <v>25200</v>
      </c>
      <c r="I90" s="45" t="s">
        <v>738</v>
      </c>
      <c r="J90" s="44" t="str">
        <f aca="false">Смета!S202</f>
        <v>УЧТЕНО</v>
      </c>
      <c r="K90" s="45" t="s">
        <v>548</v>
      </c>
      <c r="L90" s="1" t="s">
        <v>59</v>
      </c>
    </row>
    <row r="91" customFormat="false" ht="27.75" hidden="false" customHeight="true" outlineLevel="0" collapsed="false">
      <c r="A91" s="44" t="n">
        <v>3</v>
      </c>
      <c r="B91" s="44" t="s">
        <v>54</v>
      </c>
      <c r="C91" s="44" t="s">
        <v>68</v>
      </c>
      <c r="D91" s="45" t="s">
        <v>549</v>
      </c>
      <c r="E91" s="44" t="s">
        <v>545</v>
      </c>
      <c r="F91" s="46" t="n">
        <f aca="false">Смета!H203</f>
        <v>1</v>
      </c>
      <c r="G91" s="47" t="n">
        <v>12475.2</v>
      </c>
      <c r="H91" s="47" t="n">
        <f aca="false">ROUND(F91*G91,2)</f>
        <v>12475.2</v>
      </c>
      <c r="I91" s="45" t="s">
        <v>738</v>
      </c>
      <c r="J91" s="44" t="str">
        <f aca="false">Смета!S203</f>
        <v>УЧТЕНО</v>
      </c>
      <c r="K91" s="45" t="s">
        <v>550</v>
      </c>
      <c r="L91" s="1" t="s">
        <v>59</v>
      </c>
    </row>
    <row r="92" customFormat="false" ht="21" hidden="false" customHeight="true" outlineLevel="0" collapsed="false">
      <c r="A92" s="44" t="n">
        <v>3</v>
      </c>
      <c r="B92" s="44" t="s">
        <v>54</v>
      </c>
      <c r="C92" s="44" t="s">
        <v>295</v>
      </c>
      <c r="D92" s="45" t="s">
        <v>551</v>
      </c>
      <c r="E92" s="44" t="s">
        <v>80</v>
      </c>
      <c r="F92" s="46" t="n">
        <f aca="false">Смета!H204</f>
        <v>68.12</v>
      </c>
      <c r="G92" s="47" t="n">
        <v>3699</v>
      </c>
      <c r="H92" s="47" t="n">
        <f aca="false">ROUND(F92*G92,2)</f>
        <v>251975.88</v>
      </c>
      <c r="I92" s="45" t="s">
        <v>738</v>
      </c>
      <c r="J92" s="44" t="str">
        <f aca="false">Смета!S204</f>
        <v>УЧТЕНО</v>
      </c>
      <c r="K92" s="45" t="s">
        <v>754</v>
      </c>
      <c r="L92" s="1" t="s">
        <v>59</v>
      </c>
    </row>
    <row r="93" customFormat="false" ht="27.75" hidden="false" customHeight="true" outlineLevel="0" collapsed="false">
      <c r="A93" s="44" t="n">
        <v>3</v>
      </c>
      <c r="B93" s="44" t="s">
        <v>54</v>
      </c>
      <c r="C93" s="44" t="s">
        <v>298</v>
      </c>
      <c r="D93" s="45" t="s">
        <v>553</v>
      </c>
      <c r="E93" s="44" t="s">
        <v>176</v>
      </c>
      <c r="F93" s="46" t="n">
        <f aca="false">Смета!H205</f>
        <v>100</v>
      </c>
      <c r="G93" s="47" t="n">
        <v>3422.47</v>
      </c>
      <c r="H93" s="47" t="n">
        <f aca="false">ROUND(F93*G93,2)</f>
        <v>342247</v>
      </c>
      <c r="I93" s="45" t="s">
        <v>733</v>
      </c>
      <c r="J93" s="44" t="str">
        <f aca="false">Смета!S205</f>
        <v>УЧТЕНО</v>
      </c>
      <c r="K93" s="45" t="s">
        <v>554</v>
      </c>
      <c r="L93" s="1" t="s">
        <v>59</v>
      </c>
    </row>
    <row r="94" customFormat="false" ht="27.75" hidden="false" customHeight="true" outlineLevel="0" collapsed="false">
      <c r="A94" s="44" t="n">
        <v>3</v>
      </c>
      <c r="B94" s="44" t="s">
        <v>54</v>
      </c>
      <c r="C94" s="44" t="s">
        <v>301</v>
      </c>
      <c r="D94" s="45" t="s">
        <v>555</v>
      </c>
      <c r="E94" s="44" t="s">
        <v>545</v>
      </c>
      <c r="F94" s="46" t="n">
        <f aca="false">Смета!H206</f>
        <v>2</v>
      </c>
      <c r="G94" s="47" t="n">
        <v>18301.2</v>
      </c>
      <c r="H94" s="47" t="n">
        <f aca="false">ROUND(F94*G94,2)</f>
        <v>36602.4</v>
      </c>
      <c r="I94" s="45" t="s">
        <v>733</v>
      </c>
      <c r="J94" s="44" t="str">
        <f aca="false">Смета!S206</f>
        <v>УЧТЕНО</v>
      </c>
      <c r="K94" s="45" t="s">
        <v>556</v>
      </c>
      <c r="L94" s="1" t="s">
        <v>59</v>
      </c>
    </row>
    <row r="95" customFormat="false" ht="27.75" hidden="false" customHeight="true" outlineLevel="0" collapsed="false">
      <c r="A95" s="44" t="n">
        <v>3</v>
      </c>
      <c r="B95" s="44" t="s">
        <v>54</v>
      </c>
      <c r="C95" s="44" t="s">
        <v>304</v>
      </c>
      <c r="D95" s="45" t="s">
        <v>557</v>
      </c>
      <c r="E95" s="44" t="s">
        <v>545</v>
      </c>
      <c r="F95" s="46" t="n">
        <f aca="false">Смета!H207</f>
        <v>8</v>
      </c>
      <c r="G95" s="47" t="n">
        <v>4975.2</v>
      </c>
      <c r="H95" s="47" t="n">
        <f aca="false">ROUND(F95*G95,2)</f>
        <v>39801.6</v>
      </c>
      <c r="I95" s="45" t="s">
        <v>738</v>
      </c>
      <c r="J95" s="44" t="str">
        <f aca="false">Смета!S207</f>
        <v>УЧТЕНО</v>
      </c>
      <c r="K95" s="45" t="s">
        <v>558</v>
      </c>
      <c r="L95" s="1" t="s">
        <v>59</v>
      </c>
    </row>
    <row r="96" customFormat="false" ht="21" hidden="false" customHeight="true" outlineLevel="0" collapsed="false">
      <c r="A96" s="44" t="n">
        <v>3</v>
      </c>
      <c r="B96" s="44" t="s">
        <v>54</v>
      </c>
      <c r="C96" s="44" t="s">
        <v>307</v>
      </c>
      <c r="D96" s="45" t="s">
        <v>211</v>
      </c>
      <c r="E96" s="44" t="s">
        <v>212</v>
      </c>
      <c r="F96" s="46" t="n">
        <f aca="false">Смета!H208</f>
        <v>1</v>
      </c>
      <c r="G96" s="47" t="n">
        <f aca="false">ROUND(SUMIFS($H$89:$H$95,$L$89:$L$95,L96,$J$89:$J$95,J96)*2%,2)</f>
        <v>16906.6</v>
      </c>
      <c r="H96" s="47" t="n">
        <f aca="false">ROUND(F96*G96,2)</f>
        <v>16906.6</v>
      </c>
      <c r="I96" s="45" t="s">
        <v>740</v>
      </c>
      <c r="J96" s="44" t="str">
        <f aca="false">Смета!S208</f>
        <v>УЧТЕНО</v>
      </c>
      <c r="K96" s="45" t="s">
        <v>559</v>
      </c>
      <c r="L96" s="1" t="s">
        <v>59</v>
      </c>
    </row>
    <row r="97" customFormat="false" ht="27.75" hidden="false" customHeight="true" outlineLevel="0" collapsed="false">
      <c r="A97" s="44" t="n">
        <v>3</v>
      </c>
      <c r="B97" s="44" t="s">
        <v>74</v>
      </c>
      <c r="C97" s="44" t="s">
        <v>82</v>
      </c>
      <c r="D97" s="45" t="s">
        <v>567</v>
      </c>
      <c r="E97" s="44" t="s">
        <v>87</v>
      </c>
      <c r="F97" s="46" t="n">
        <f aca="false">Смета!H214</f>
        <v>13.14</v>
      </c>
      <c r="G97" s="47" t="n">
        <v>24600</v>
      </c>
      <c r="H97" s="47" t="n">
        <f aca="false">ROUND(F97*G97,2)</f>
        <v>323244</v>
      </c>
      <c r="I97" s="45" t="s">
        <v>733</v>
      </c>
      <c r="J97" s="44" t="str">
        <f aca="false">Смета!S214</f>
        <v>УЧТЕНО</v>
      </c>
      <c r="K97" s="45" t="s">
        <v>568</v>
      </c>
      <c r="L97" s="1" t="s">
        <v>59</v>
      </c>
    </row>
    <row r="98" customFormat="false" ht="27.75" hidden="false" customHeight="true" outlineLevel="0" collapsed="false">
      <c r="A98" s="44" t="n">
        <v>3</v>
      </c>
      <c r="B98" s="44" t="s">
        <v>74</v>
      </c>
      <c r="C98" s="44" t="s">
        <v>85</v>
      </c>
      <c r="D98" s="45" t="s">
        <v>569</v>
      </c>
      <c r="E98" s="44" t="s">
        <v>87</v>
      </c>
      <c r="F98" s="46" t="n">
        <f aca="false">Смета!H215</f>
        <v>1.5</v>
      </c>
      <c r="G98" s="47" t="n">
        <v>21300</v>
      </c>
      <c r="H98" s="47" t="n">
        <f aca="false">ROUND(F98*G98,2)</f>
        <v>31950</v>
      </c>
      <c r="I98" s="45" t="s">
        <v>733</v>
      </c>
      <c r="J98" s="44" t="str">
        <f aca="false">Смета!S215</f>
        <v>УЧТЕНО</v>
      </c>
      <c r="K98" s="45" t="s">
        <v>570</v>
      </c>
      <c r="L98" s="1" t="s">
        <v>59</v>
      </c>
    </row>
    <row r="99" customFormat="false" ht="21" hidden="false" customHeight="true" outlineLevel="0" collapsed="false">
      <c r="A99" s="44" t="n">
        <v>3</v>
      </c>
      <c r="B99" s="44" t="s">
        <v>74</v>
      </c>
      <c r="C99" s="44" t="s">
        <v>89</v>
      </c>
      <c r="D99" s="45" t="s">
        <v>571</v>
      </c>
      <c r="E99" s="44" t="s">
        <v>176</v>
      </c>
      <c r="F99" s="46" t="n">
        <f aca="false">Смета!H216</f>
        <v>10</v>
      </c>
      <c r="G99" s="47" t="n">
        <v>3114</v>
      </c>
      <c r="H99" s="47" t="n">
        <f aca="false">ROUND(F99*G99,2)</f>
        <v>31140</v>
      </c>
      <c r="I99" s="45" t="s">
        <v>738</v>
      </c>
      <c r="J99" s="44" t="str">
        <f aca="false">Смета!S216</f>
        <v>УЧТЕНО</v>
      </c>
      <c r="K99" s="45" t="s">
        <v>572</v>
      </c>
      <c r="L99" s="1" t="s">
        <v>59</v>
      </c>
    </row>
    <row r="100" customFormat="false" ht="21" hidden="false" customHeight="true" outlineLevel="0" collapsed="false">
      <c r="A100" s="44" t="n">
        <v>3</v>
      </c>
      <c r="B100" s="44" t="s">
        <v>74</v>
      </c>
      <c r="C100" s="44" t="s">
        <v>92</v>
      </c>
      <c r="D100" s="45" t="s">
        <v>573</v>
      </c>
      <c r="E100" s="44" t="s">
        <v>176</v>
      </c>
      <c r="F100" s="46" t="n">
        <f aca="false">Смета!H217</f>
        <v>8</v>
      </c>
      <c r="G100" s="47" t="n">
        <v>3850.8</v>
      </c>
      <c r="H100" s="47" t="n">
        <f aca="false">ROUND(F100*G100,2)</f>
        <v>30806.4</v>
      </c>
      <c r="I100" s="45" t="s">
        <v>738</v>
      </c>
      <c r="J100" s="44" t="str">
        <f aca="false">Смета!S217</f>
        <v>УЧТЕНО</v>
      </c>
      <c r="K100" s="45" t="s">
        <v>574</v>
      </c>
      <c r="L100" s="1" t="s">
        <v>59</v>
      </c>
    </row>
    <row r="101" customFormat="false" ht="27.75" hidden="false" customHeight="true" outlineLevel="0" collapsed="false">
      <c r="A101" s="44" t="n">
        <v>3</v>
      </c>
      <c r="B101" s="44" t="s">
        <v>74</v>
      </c>
      <c r="C101" s="44" t="s">
        <v>95</v>
      </c>
      <c r="D101" s="45" t="s">
        <v>575</v>
      </c>
      <c r="E101" s="44" t="s">
        <v>176</v>
      </c>
      <c r="F101" s="46" t="n">
        <f aca="false">Смета!H218</f>
        <v>465</v>
      </c>
      <c r="G101" s="47" t="n">
        <v>3422.47</v>
      </c>
      <c r="H101" s="47" t="n">
        <f aca="false">ROUND(F101*G101,2)</f>
        <v>1591448.55</v>
      </c>
      <c r="I101" s="45" t="s">
        <v>733</v>
      </c>
      <c r="J101" s="44" t="str">
        <f aca="false">Смета!S218</f>
        <v>УЧТЕНО</v>
      </c>
      <c r="K101" s="45" t="s">
        <v>576</v>
      </c>
      <c r="L101" s="1" t="s">
        <v>59</v>
      </c>
    </row>
    <row r="102" customFormat="false" ht="27.75" hidden="false" customHeight="true" outlineLevel="0" collapsed="false">
      <c r="A102" s="44" t="n">
        <v>3</v>
      </c>
      <c r="B102" s="44" t="s">
        <v>74</v>
      </c>
      <c r="C102" s="44" t="s">
        <v>98</v>
      </c>
      <c r="D102" s="45" t="s">
        <v>577</v>
      </c>
      <c r="E102" s="44" t="s">
        <v>87</v>
      </c>
      <c r="F102" s="46" t="n">
        <f aca="false">Смета!H219</f>
        <v>2.85</v>
      </c>
      <c r="G102" s="47" t="n">
        <v>24600</v>
      </c>
      <c r="H102" s="47" t="n">
        <f aca="false">ROUND(F102*G102,2)</f>
        <v>70110</v>
      </c>
      <c r="I102" s="45" t="s">
        <v>733</v>
      </c>
      <c r="J102" s="44" t="str">
        <f aca="false">Смета!S219</f>
        <v>УЧТЕНО</v>
      </c>
      <c r="K102" s="45" t="s">
        <v>578</v>
      </c>
      <c r="L102" s="1" t="s">
        <v>59</v>
      </c>
    </row>
    <row r="103" customFormat="false" ht="21" hidden="false" customHeight="true" outlineLevel="0" collapsed="false">
      <c r="A103" s="44" t="n">
        <v>3</v>
      </c>
      <c r="B103" s="44" t="s">
        <v>74</v>
      </c>
      <c r="C103" s="44" t="s">
        <v>101</v>
      </c>
      <c r="D103" s="45" t="s">
        <v>579</v>
      </c>
      <c r="E103" s="44" t="s">
        <v>176</v>
      </c>
      <c r="F103" s="46" t="n">
        <f aca="false">Смета!H220</f>
        <v>7</v>
      </c>
      <c r="G103" s="47" t="n">
        <v>7382.86</v>
      </c>
      <c r="H103" s="47" t="n">
        <f aca="false">ROUND(F103*G103,2)</f>
        <v>51680.02</v>
      </c>
      <c r="I103" s="45" t="s">
        <v>733</v>
      </c>
      <c r="J103" s="44" t="str">
        <f aca="false">Смета!S220</f>
        <v>УЧТЕНО</v>
      </c>
      <c r="K103" s="45" t="s">
        <v>580</v>
      </c>
      <c r="L103" s="1" t="s">
        <v>59</v>
      </c>
    </row>
    <row r="104" customFormat="false" ht="27.75" hidden="false" customHeight="true" outlineLevel="0" collapsed="false">
      <c r="A104" s="44" t="n">
        <v>3</v>
      </c>
      <c r="B104" s="44" t="s">
        <v>74</v>
      </c>
      <c r="C104" s="44" t="s">
        <v>104</v>
      </c>
      <c r="D104" s="45" t="s">
        <v>581</v>
      </c>
      <c r="E104" s="44" t="s">
        <v>87</v>
      </c>
      <c r="F104" s="46" t="n">
        <f aca="false">Смета!H221</f>
        <v>3.83</v>
      </c>
      <c r="G104" s="47" t="n">
        <v>27440</v>
      </c>
      <c r="H104" s="47" t="n">
        <f aca="false">ROUND(F104*G104,2)</f>
        <v>105095.2</v>
      </c>
      <c r="I104" s="45" t="s">
        <v>733</v>
      </c>
      <c r="J104" s="44" t="str">
        <f aca="false">Смета!S221</f>
        <v>УЧТЕНО</v>
      </c>
      <c r="K104" s="45" t="s">
        <v>582</v>
      </c>
      <c r="L104" s="1" t="s">
        <v>59</v>
      </c>
    </row>
    <row r="105" customFormat="false" ht="27.75" hidden="false" customHeight="true" outlineLevel="0" collapsed="false">
      <c r="A105" s="44" t="n">
        <v>3</v>
      </c>
      <c r="B105" s="44" t="s">
        <v>74</v>
      </c>
      <c r="C105" s="44" t="s">
        <v>107</v>
      </c>
      <c r="D105" s="45" t="s">
        <v>583</v>
      </c>
      <c r="E105" s="44" t="s">
        <v>87</v>
      </c>
      <c r="F105" s="46" t="n">
        <f aca="false">Смета!H222</f>
        <v>1.1</v>
      </c>
      <c r="G105" s="47" t="n">
        <v>27440</v>
      </c>
      <c r="H105" s="47" t="n">
        <f aca="false">ROUND(F105*G105,2)</f>
        <v>30184</v>
      </c>
      <c r="I105" s="45" t="s">
        <v>733</v>
      </c>
      <c r="J105" s="44" t="str">
        <f aca="false">Смета!S222</f>
        <v>УЧТЕНО</v>
      </c>
      <c r="K105" s="45" t="s">
        <v>584</v>
      </c>
      <c r="L105" s="1" t="s">
        <v>59</v>
      </c>
    </row>
    <row r="106" customFormat="false" ht="21" hidden="false" customHeight="true" outlineLevel="0" collapsed="false">
      <c r="A106" s="44" t="n">
        <v>3</v>
      </c>
      <c r="B106" s="44" t="s">
        <v>74</v>
      </c>
      <c r="C106" s="44" t="s">
        <v>110</v>
      </c>
      <c r="D106" s="45" t="s">
        <v>585</v>
      </c>
      <c r="E106" s="44" t="s">
        <v>180</v>
      </c>
      <c r="F106" s="46" t="n">
        <f aca="false">Смета!H223</f>
        <v>5015</v>
      </c>
      <c r="G106" s="47" t="n">
        <v>175.08</v>
      </c>
      <c r="H106" s="47" t="n">
        <f aca="false">ROUND(F106*G106,2)</f>
        <v>878026.2</v>
      </c>
      <c r="I106" s="45" t="s">
        <v>755</v>
      </c>
      <c r="J106" s="44" t="str">
        <f aca="false">Смета!S223</f>
        <v>УЧТЕНО</v>
      </c>
      <c r="K106" s="45" t="s">
        <v>756</v>
      </c>
      <c r="L106" s="1" t="s">
        <v>59</v>
      </c>
    </row>
    <row r="107" customFormat="false" ht="21" hidden="false" customHeight="true" outlineLevel="0" collapsed="false">
      <c r="A107" s="44" t="n">
        <v>3</v>
      </c>
      <c r="B107" s="44" t="s">
        <v>74</v>
      </c>
      <c r="C107" s="44" t="s">
        <v>114</v>
      </c>
      <c r="D107" s="45" t="s">
        <v>587</v>
      </c>
      <c r="E107" s="44" t="s">
        <v>180</v>
      </c>
      <c r="F107" s="46" t="n">
        <f aca="false">Смета!H224</f>
        <v>26</v>
      </c>
      <c r="G107" s="47" t="n">
        <v>1880.94</v>
      </c>
      <c r="H107" s="47" t="n">
        <f aca="false">ROUND(F107*G107,2)</f>
        <v>48904.44</v>
      </c>
      <c r="I107" s="45" t="s">
        <v>738</v>
      </c>
      <c r="J107" s="44" t="str">
        <f aca="false">Смета!S224</f>
        <v>УЧТЕНО</v>
      </c>
      <c r="K107" s="45" t="s">
        <v>757</v>
      </c>
      <c r="L107" s="1" t="s">
        <v>59</v>
      </c>
    </row>
    <row r="108" customFormat="false" ht="21" hidden="false" customHeight="true" outlineLevel="0" collapsed="false">
      <c r="A108" s="44" t="n">
        <v>3</v>
      </c>
      <c r="B108" s="44" t="s">
        <v>74</v>
      </c>
      <c r="C108" s="44" t="s">
        <v>118</v>
      </c>
      <c r="D108" s="45" t="s">
        <v>589</v>
      </c>
      <c r="E108" s="44" t="s">
        <v>180</v>
      </c>
      <c r="F108" s="46" t="n">
        <f aca="false">Смета!H225</f>
        <v>38</v>
      </c>
      <c r="G108" s="47" t="n">
        <v>200.4</v>
      </c>
      <c r="H108" s="47" t="n">
        <f aca="false">ROUND(F108*G108,2)</f>
        <v>7615.2</v>
      </c>
      <c r="I108" s="45" t="s">
        <v>738</v>
      </c>
      <c r="J108" s="44" t="str">
        <f aca="false">Смета!S225</f>
        <v>УЧТЕНО</v>
      </c>
      <c r="K108" s="45" t="s">
        <v>758</v>
      </c>
      <c r="L108" s="1" t="s">
        <v>59</v>
      </c>
    </row>
    <row r="109" customFormat="false" ht="21" hidden="false" customHeight="true" outlineLevel="0" collapsed="false">
      <c r="A109" s="44" t="n">
        <v>3</v>
      </c>
      <c r="B109" s="44" t="s">
        <v>74</v>
      </c>
      <c r="C109" s="44" t="s">
        <v>121</v>
      </c>
      <c r="D109" s="45" t="s">
        <v>591</v>
      </c>
      <c r="E109" s="44" t="s">
        <v>180</v>
      </c>
      <c r="F109" s="46" t="n">
        <f aca="false">Смета!H226</f>
        <v>161</v>
      </c>
      <c r="G109" s="47" t="n">
        <v>4.8</v>
      </c>
      <c r="H109" s="47" t="n">
        <f aca="false">ROUND(F109*G109,2)</f>
        <v>772.8</v>
      </c>
      <c r="I109" s="45" t="s">
        <v>738</v>
      </c>
      <c r="J109" s="44" t="str">
        <f aca="false">Смета!S226</f>
        <v>УЧТЕНО</v>
      </c>
      <c r="K109" s="45" t="s">
        <v>759</v>
      </c>
      <c r="L109" s="1" t="s">
        <v>59</v>
      </c>
    </row>
    <row r="110" customFormat="false" ht="21" hidden="false" customHeight="true" outlineLevel="0" collapsed="false">
      <c r="A110" s="44" t="n">
        <v>3</v>
      </c>
      <c r="B110" s="44" t="s">
        <v>74</v>
      </c>
      <c r="C110" s="44" t="s">
        <v>124</v>
      </c>
      <c r="D110" s="45" t="s">
        <v>593</v>
      </c>
      <c r="E110" s="44" t="s">
        <v>180</v>
      </c>
      <c r="F110" s="46" t="n">
        <f aca="false">Смета!H227</f>
        <v>164</v>
      </c>
      <c r="G110" s="47" t="n">
        <v>586.8</v>
      </c>
      <c r="H110" s="47" t="n">
        <f aca="false">ROUND(F110*G110,2)</f>
        <v>96235.2</v>
      </c>
      <c r="I110" s="45" t="s">
        <v>755</v>
      </c>
      <c r="J110" s="44" t="str">
        <f aca="false">Смета!S227</f>
        <v>УЧТЕНО</v>
      </c>
      <c r="K110" s="45" t="s">
        <v>760</v>
      </c>
      <c r="L110" s="1" t="s">
        <v>59</v>
      </c>
    </row>
    <row r="111" customFormat="false" ht="21" hidden="false" customHeight="true" outlineLevel="0" collapsed="false">
      <c r="A111" s="44" t="n">
        <v>3</v>
      </c>
      <c r="B111" s="44" t="s">
        <v>74</v>
      </c>
      <c r="C111" s="44" t="s">
        <v>127</v>
      </c>
      <c r="D111" s="45" t="s">
        <v>595</v>
      </c>
      <c r="E111" s="44" t="s">
        <v>180</v>
      </c>
      <c r="F111" s="46" t="n">
        <f aca="false">Смета!H228</f>
        <v>54</v>
      </c>
      <c r="G111" s="47" t="n">
        <v>1458</v>
      </c>
      <c r="H111" s="47" t="n">
        <f aca="false">ROUND(F111*G111,2)</f>
        <v>78732</v>
      </c>
      <c r="I111" s="45" t="s">
        <v>755</v>
      </c>
      <c r="J111" s="44" t="str">
        <f aca="false">Смета!S228</f>
        <v>УЧТЕНО</v>
      </c>
      <c r="K111" s="45" t="s">
        <v>761</v>
      </c>
      <c r="L111" s="1" t="s">
        <v>59</v>
      </c>
    </row>
    <row r="112" customFormat="false" ht="21" hidden="false" customHeight="true" outlineLevel="0" collapsed="false">
      <c r="A112" s="44" t="n">
        <v>3</v>
      </c>
      <c r="B112" s="44" t="s">
        <v>74</v>
      </c>
      <c r="C112" s="44" t="s">
        <v>130</v>
      </c>
      <c r="D112" s="45" t="s">
        <v>597</v>
      </c>
      <c r="E112" s="44" t="s">
        <v>180</v>
      </c>
      <c r="F112" s="46" t="n">
        <f aca="false">Смета!H229</f>
        <v>30</v>
      </c>
      <c r="G112" s="47" t="n">
        <v>1474.8</v>
      </c>
      <c r="H112" s="47" t="n">
        <f aca="false">ROUND(F112*G112,2)</f>
        <v>44244</v>
      </c>
      <c r="I112" s="45" t="s">
        <v>733</v>
      </c>
      <c r="J112" s="44" t="str">
        <f aca="false">Смета!S229</f>
        <v>УЧТЕНО</v>
      </c>
      <c r="K112" s="45" t="s">
        <v>762</v>
      </c>
      <c r="L112" s="1" t="s">
        <v>59</v>
      </c>
    </row>
    <row r="113" customFormat="false" ht="21" hidden="false" customHeight="true" outlineLevel="0" collapsed="false">
      <c r="A113" s="44" t="n">
        <v>3</v>
      </c>
      <c r="B113" s="44" t="s">
        <v>74</v>
      </c>
      <c r="C113" s="44" t="s">
        <v>133</v>
      </c>
      <c r="D113" s="45" t="s">
        <v>599</v>
      </c>
      <c r="E113" s="44" t="s">
        <v>180</v>
      </c>
      <c r="F113" s="46" t="n">
        <f aca="false">Смета!H230</f>
        <v>13</v>
      </c>
      <c r="G113" s="47" t="n">
        <v>608.59</v>
      </c>
      <c r="H113" s="47" t="n">
        <f aca="false">ROUND(F113*G113,2)</f>
        <v>7911.67</v>
      </c>
      <c r="I113" s="45" t="s">
        <v>755</v>
      </c>
      <c r="J113" s="44" t="str">
        <f aca="false">Смета!S230</f>
        <v>УЧТЕНО</v>
      </c>
      <c r="K113" s="45" t="s">
        <v>763</v>
      </c>
      <c r="L113" s="1" t="s">
        <v>59</v>
      </c>
    </row>
    <row r="114" customFormat="false" ht="27.75" hidden="false" customHeight="true" outlineLevel="0" collapsed="false">
      <c r="A114" s="44" t="n">
        <v>3</v>
      </c>
      <c r="B114" s="44" t="s">
        <v>74</v>
      </c>
      <c r="C114" s="44" t="s">
        <v>137</v>
      </c>
      <c r="D114" s="45" t="s">
        <v>601</v>
      </c>
      <c r="E114" s="44" t="s">
        <v>180</v>
      </c>
      <c r="F114" s="46" t="n">
        <f aca="false">Смета!H231</f>
        <v>56</v>
      </c>
      <c r="G114" s="47" t="n">
        <v>976.8</v>
      </c>
      <c r="H114" s="47" t="n">
        <f aca="false">ROUND(F114*G114,2)</f>
        <v>54700.8</v>
      </c>
      <c r="I114" s="45" t="s">
        <v>755</v>
      </c>
      <c r="J114" s="44" t="str">
        <f aca="false">Смета!S231</f>
        <v>УЧТЕНО</v>
      </c>
      <c r="K114" s="45" t="s">
        <v>764</v>
      </c>
      <c r="L114" s="1" t="s">
        <v>59</v>
      </c>
    </row>
    <row r="115" customFormat="false" ht="27.75" hidden="false" customHeight="true" outlineLevel="0" collapsed="false">
      <c r="A115" s="44" t="n">
        <v>3</v>
      </c>
      <c r="B115" s="44" t="s">
        <v>74</v>
      </c>
      <c r="C115" s="44" t="s">
        <v>140</v>
      </c>
      <c r="D115" s="45" t="s">
        <v>603</v>
      </c>
      <c r="E115" s="44" t="s">
        <v>180</v>
      </c>
      <c r="F115" s="46" t="n">
        <f aca="false">Смета!H232</f>
        <v>56</v>
      </c>
      <c r="G115" s="47" t="n">
        <v>976.8</v>
      </c>
      <c r="H115" s="47" t="n">
        <f aca="false">ROUND(F115*G115,2)</f>
        <v>54700.8</v>
      </c>
      <c r="I115" s="45" t="s">
        <v>755</v>
      </c>
      <c r="J115" s="44" t="str">
        <f aca="false">Смета!S232</f>
        <v>УЧТЕНО</v>
      </c>
      <c r="K115" s="45" t="s">
        <v>765</v>
      </c>
      <c r="L115" s="1" t="s">
        <v>59</v>
      </c>
    </row>
    <row r="116" customFormat="false" ht="21" hidden="false" customHeight="true" outlineLevel="0" collapsed="false">
      <c r="A116" s="44" t="n">
        <v>3</v>
      </c>
      <c r="B116" s="44" t="s">
        <v>74</v>
      </c>
      <c r="C116" s="44" t="s">
        <v>143</v>
      </c>
      <c r="D116" s="45" t="s">
        <v>605</v>
      </c>
      <c r="E116" s="44" t="s">
        <v>180</v>
      </c>
      <c r="F116" s="46" t="n">
        <f aca="false">Смета!H233</f>
        <v>1</v>
      </c>
      <c r="G116" s="47" t="n">
        <v>958.8</v>
      </c>
      <c r="H116" s="47" t="n">
        <f aca="false">ROUND(F116*G116,2)</f>
        <v>958.8</v>
      </c>
      <c r="I116" s="45" t="s">
        <v>738</v>
      </c>
      <c r="J116" s="44" t="str">
        <f aca="false">Смета!S233</f>
        <v>УЧТЕНО</v>
      </c>
      <c r="K116" s="45" t="s">
        <v>766</v>
      </c>
      <c r="L116" s="1" t="s">
        <v>59</v>
      </c>
    </row>
    <row r="117" customFormat="false" ht="27.75" hidden="false" customHeight="true" outlineLevel="0" collapsed="false">
      <c r="A117" s="44" t="n">
        <v>3</v>
      </c>
      <c r="B117" s="44" t="s">
        <v>74</v>
      </c>
      <c r="C117" s="44" t="s">
        <v>146</v>
      </c>
      <c r="D117" s="45" t="s">
        <v>607</v>
      </c>
      <c r="E117" s="44" t="s">
        <v>180</v>
      </c>
      <c r="F117" s="46" t="n">
        <f aca="false">Смета!H234</f>
        <v>3</v>
      </c>
      <c r="G117" s="47" t="n">
        <v>2816.64</v>
      </c>
      <c r="H117" s="47" t="n">
        <f aca="false">ROUND(F117*G117,2)</f>
        <v>8449.92</v>
      </c>
      <c r="I117" s="45" t="s">
        <v>738</v>
      </c>
      <c r="J117" s="44" t="str">
        <f aca="false">Смета!S234</f>
        <v>УЧТЕНО</v>
      </c>
      <c r="K117" s="45" t="s">
        <v>767</v>
      </c>
      <c r="L117" s="1" t="s">
        <v>59</v>
      </c>
    </row>
    <row r="118" customFormat="false" ht="27.75" hidden="false" customHeight="true" outlineLevel="0" collapsed="false">
      <c r="A118" s="44" t="n">
        <v>3</v>
      </c>
      <c r="B118" s="44" t="s">
        <v>74</v>
      </c>
      <c r="C118" s="44" t="s">
        <v>149</v>
      </c>
      <c r="D118" s="45" t="s">
        <v>609</v>
      </c>
      <c r="E118" s="44" t="s">
        <v>180</v>
      </c>
      <c r="F118" s="46" t="n">
        <f aca="false">Смета!H235</f>
        <v>13</v>
      </c>
      <c r="G118" s="47" t="n">
        <v>1928.4</v>
      </c>
      <c r="H118" s="47" t="n">
        <f aca="false">ROUND(F118*G118,2)</f>
        <v>25069.2</v>
      </c>
      <c r="I118" s="45" t="s">
        <v>733</v>
      </c>
      <c r="J118" s="44" t="str">
        <f aca="false">Смета!S235</f>
        <v>УЧТЕНО</v>
      </c>
      <c r="K118" s="45" t="s">
        <v>768</v>
      </c>
      <c r="L118" s="1" t="s">
        <v>59</v>
      </c>
    </row>
    <row r="119" customFormat="false" ht="21" hidden="false" customHeight="true" outlineLevel="0" collapsed="false">
      <c r="A119" s="44" t="n">
        <v>3</v>
      </c>
      <c r="B119" s="44" t="s">
        <v>74</v>
      </c>
      <c r="C119" s="44" t="s">
        <v>152</v>
      </c>
      <c r="D119" s="45" t="s">
        <v>611</v>
      </c>
      <c r="E119" s="44" t="s">
        <v>180</v>
      </c>
      <c r="F119" s="46" t="n">
        <f aca="false">Смета!H236</f>
        <v>20</v>
      </c>
      <c r="G119" s="47" t="n">
        <v>501</v>
      </c>
      <c r="H119" s="47" t="n">
        <f aca="false">ROUND(F119*G119,2)</f>
        <v>10020</v>
      </c>
      <c r="I119" s="45" t="s">
        <v>733</v>
      </c>
      <c r="J119" s="44" t="str">
        <f aca="false">Смета!S236</f>
        <v>УЧТЕНО</v>
      </c>
      <c r="K119" s="45" t="s">
        <v>769</v>
      </c>
      <c r="L119" s="1" t="s">
        <v>59</v>
      </c>
    </row>
    <row r="120" customFormat="false" ht="27.75" hidden="false" customHeight="true" outlineLevel="0" collapsed="false">
      <c r="A120" s="44" t="n">
        <v>3</v>
      </c>
      <c r="B120" s="44" t="s">
        <v>74</v>
      </c>
      <c r="C120" s="44" t="s">
        <v>155</v>
      </c>
      <c r="D120" s="45" t="s">
        <v>613</v>
      </c>
      <c r="E120" s="44" t="s">
        <v>180</v>
      </c>
      <c r="F120" s="46" t="n">
        <f aca="false">Смета!H237</f>
        <v>8</v>
      </c>
      <c r="G120" s="47" t="n">
        <v>775.8</v>
      </c>
      <c r="H120" s="47" t="n">
        <f aca="false">ROUND(F120*G120,2)</f>
        <v>6206.4</v>
      </c>
      <c r="I120" s="45" t="s">
        <v>733</v>
      </c>
      <c r="J120" s="44" t="str">
        <f aca="false">Смета!S237</f>
        <v>УЧТЕНО</v>
      </c>
      <c r="K120" s="45" t="s">
        <v>770</v>
      </c>
      <c r="L120" s="1" t="s">
        <v>59</v>
      </c>
    </row>
    <row r="121" customFormat="false" ht="27.75" hidden="false" customHeight="true" outlineLevel="0" collapsed="false">
      <c r="A121" s="44" t="n">
        <v>3</v>
      </c>
      <c r="B121" s="44" t="s">
        <v>74</v>
      </c>
      <c r="C121" s="44" t="s">
        <v>158</v>
      </c>
      <c r="D121" s="45" t="s">
        <v>615</v>
      </c>
      <c r="E121" s="44" t="s">
        <v>180</v>
      </c>
      <c r="F121" s="46" t="n">
        <f aca="false">Смета!H238</f>
        <v>8</v>
      </c>
      <c r="G121" s="47" t="n">
        <v>350.4</v>
      </c>
      <c r="H121" s="47" t="n">
        <f aca="false">ROUND(F121*G121,2)</f>
        <v>2803.2</v>
      </c>
      <c r="I121" s="45" t="s">
        <v>733</v>
      </c>
      <c r="J121" s="44" t="str">
        <f aca="false">Смета!S238</f>
        <v>УЧТЕНО</v>
      </c>
      <c r="K121" s="45" t="s">
        <v>771</v>
      </c>
      <c r="L121" s="1" t="s">
        <v>59</v>
      </c>
    </row>
    <row r="122" customFormat="false" ht="27.75" hidden="false" customHeight="true" outlineLevel="0" collapsed="false">
      <c r="A122" s="44" t="n">
        <v>3</v>
      </c>
      <c r="B122" s="44" t="s">
        <v>74</v>
      </c>
      <c r="C122" s="44" t="s">
        <v>161</v>
      </c>
      <c r="D122" s="45" t="s">
        <v>617</v>
      </c>
      <c r="E122" s="44" t="s">
        <v>180</v>
      </c>
      <c r="F122" s="46" t="n">
        <f aca="false">Смета!H239</f>
        <v>14</v>
      </c>
      <c r="G122" s="47" t="n">
        <v>2589.3</v>
      </c>
      <c r="H122" s="47" t="n">
        <f aca="false">ROUND(F122*G122,2)</f>
        <v>36250.2</v>
      </c>
      <c r="I122" s="45" t="s">
        <v>733</v>
      </c>
      <c r="J122" s="44" t="str">
        <f aca="false">Смета!S239</f>
        <v>УЧТЕНО</v>
      </c>
      <c r="K122" s="45" t="s">
        <v>772</v>
      </c>
      <c r="L122" s="1" t="s">
        <v>59</v>
      </c>
    </row>
    <row r="123" customFormat="false" ht="27.75" hidden="false" customHeight="true" outlineLevel="0" collapsed="false">
      <c r="A123" s="44" t="n">
        <v>3</v>
      </c>
      <c r="B123" s="44" t="s">
        <v>74</v>
      </c>
      <c r="C123" s="44" t="s">
        <v>164</v>
      </c>
      <c r="D123" s="45" t="s">
        <v>619</v>
      </c>
      <c r="E123" s="44" t="s">
        <v>180</v>
      </c>
      <c r="F123" s="46" t="n">
        <f aca="false">Смета!H240</f>
        <v>8</v>
      </c>
      <c r="G123" s="47" t="n">
        <v>864.9</v>
      </c>
      <c r="H123" s="47" t="n">
        <f aca="false">ROUND(F123*G123,2)</f>
        <v>6919.2</v>
      </c>
      <c r="I123" s="45" t="s">
        <v>733</v>
      </c>
      <c r="J123" s="44" t="str">
        <f aca="false">Смета!S240</f>
        <v>УЧТЕНО</v>
      </c>
      <c r="K123" s="45" t="s">
        <v>773</v>
      </c>
      <c r="L123" s="1" t="s">
        <v>59</v>
      </c>
    </row>
    <row r="124" customFormat="false" ht="27.75" hidden="false" customHeight="true" outlineLevel="0" collapsed="false">
      <c r="A124" s="44" t="n">
        <v>3</v>
      </c>
      <c r="B124" s="44" t="s">
        <v>74</v>
      </c>
      <c r="C124" s="44" t="s">
        <v>621</v>
      </c>
      <c r="D124" s="45" t="s">
        <v>622</v>
      </c>
      <c r="E124" s="44" t="s">
        <v>180</v>
      </c>
      <c r="F124" s="46" t="n">
        <f aca="false">Смета!H241</f>
        <v>2</v>
      </c>
      <c r="G124" s="47" t="n">
        <v>1931.6</v>
      </c>
      <c r="H124" s="47" t="n">
        <f aca="false">ROUND(F124*G124,2)</f>
        <v>3863.2</v>
      </c>
      <c r="I124" s="45" t="s">
        <v>733</v>
      </c>
      <c r="J124" s="44" t="str">
        <f aca="false">Смета!S241</f>
        <v>УЧТЕНО</v>
      </c>
      <c r="K124" s="45" t="s">
        <v>774</v>
      </c>
      <c r="L124" s="1" t="s">
        <v>59</v>
      </c>
    </row>
    <row r="125" customFormat="false" ht="27.75" hidden="false" customHeight="true" outlineLevel="0" collapsed="false">
      <c r="A125" s="44" t="n">
        <v>3</v>
      </c>
      <c r="B125" s="44" t="s">
        <v>74</v>
      </c>
      <c r="C125" s="44" t="s">
        <v>174</v>
      </c>
      <c r="D125" s="45" t="s">
        <v>624</v>
      </c>
      <c r="E125" s="44" t="s">
        <v>180</v>
      </c>
      <c r="F125" s="46" t="n">
        <f aca="false">Смета!H242</f>
        <v>9</v>
      </c>
      <c r="G125" s="47" t="n">
        <v>368.1</v>
      </c>
      <c r="H125" s="47" t="n">
        <f aca="false">ROUND(F125*G125,2)</f>
        <v>3312.9</v>
      </c>
      <c r="I125" s="45" t="s">
        <v>733</v>
      </c>
      <c r="J125" s="44" t="str">
        <f aca="false">Смета!S242</f>
        <v>УЧТЕНО</v>
      </c>
      <c r="K125" s="45" t="s">
        <v>775</v>
      </c>
      <c r="L125" s="1" t="s">
        <v>59</v>
      </c>
    </row>
    <row r="126" customFormat="false" ht="27.75" hidden="false" customHeight="true" outlineLevel="0" collapsed="false">
      <c r="A126" s="44" t="n">
        <v>3</v>
      </c>
      <c r="B126" s="44" t="s">
        <v>74</v>
      </c>
      <c r="C126" s="44" t="s">
        <v>178</v>
      </c>
      <c r="D126" s="45" t="s">
        <v>626</v>
      </c>
      <c r="E126" s="44" t="s">
        <v>180</v>
      </c>
      <c r="F126" s="46" t="n">
        <f aca="false">Смета!H243</f>
        <v>29</v>
      </c>
      <c r="G126" s="47" t="n">
        <v>285.2</v>
      </c>
      <c r="H126" s="47" t="n">
        <f aca="false">ROUND(F126*G126,2)</f>
        <v>8270.8</v>
      </c>
      <c r="I126" s="45" t="s">
        <v>733</v>
      </c>
      <c r="J126" s="44" t="str">
        <f aca="false">Смета!S243</f>
        <v>УЧТЕНО</v>
      </c>
      <c r="K126" s="45" t="s">
        <v>776</v>
      </c>
      <c r="L126" s="1" t="s">
        <v>59</v>
      </c>
    </row>
    <row r="127" customFormat="false" ht="21" hidden="false" customHeight="true" outlineLevel="0" collapsed="false">
      <c r="A127" s="44" t="n">
        <v>3</v>
      </c>
      <c r="B127" s="44" t="s">
        <v>74</v>
      </c>
      <c r="C127" s="44" t="s">
        <v>185</v>
      </c>
      <c r="D127" s="45" t="s">
        <v>628</v>
      </c>
      <c r="E127" s="44" t="s">
        <v>180</v>
      </c>
      <c r="F127" s="46" t="n">
        <f aca="false">Смета!H244</f>
        <v>5</v>
      </c>
      <c r="G127" s="47" t="n">
        <v>24202.46</v>
      </c>
      <c r="H127" s="47" t="n">
        <f aca="false">ROUND(F127*G127,2)</f>
        <v>121012.3</v>
      </c>
      <c r="I127" s="45" t="s">
        <v>755</v>
      </c>
      <c r="J127" s="44" t="str">
        <f aca="false">Смета!S244</f>
        <v>УЧТЕНО</v>
      </c>
      <c r="K127" s="45" t="s">
        <v>629</v>
      </c>
      <c r="L127" s="1" t="s">
        <v>59</v>
      </c>
    </row>
    <row r="128" customFormat="false" ht="21" hidden="false" customHeight="true" outlineLevel="0" collapsed="false">
      <c r="A128" s="44" t="n">
        <v>3</v>
      </c>
      <c r="B128" s="44" t="s">
        <v>74</v>
      </c>
      <c r="C128" s="44" t="s">
        <v>188</v>
      </c>
      <c r="D128" s="45" t="s">
        <v>630</v>
      </c>
      <c r="E128" s="44" t="s">
        <v>80</v>
      </c>
      <c r="F128" s="46" t="n">
        <f aca="false">Смета!H245</f>
        <v>69</v>
      </c>
      <c r="G128" s="47" t="n">
        <v>945</v>
      </c>
      <c r="H128" s="47" t="n">
        <f aca="false">ROUND(F128*G128,2)</f>
        <v>65205</v>
      </c>
      <c r="I128" s="45" t="s">
        <v>733</v>
      </c>
      <c r="J128" s="44" t="str">
        <f aca="false">Смета!S245</f>
        <v>УЧТЕНО</v>
      </c>
      <c r="K128" s="45" t="s">
        <v>631</v>
      </c>
      <c r="L128" s="1" t="s">
        <v>59</v>
      </c>
    </row>
    <row r="129" customFormat="false" ht="27.75" hidden="false" customHeight="true" outlineLevel="0" collapsed="false">
      <c r="A129" s="44" t="n">
        <v>3</v>
      </c>
      <c r="B129" s="44" t="s">
        <v>74</v>
      </c>
      <c r="C129" s="44" t="s">
        <v>192</v>
      </c>
      <c r="D129" s="45" t="s">
        <v>632</v>
      </c>
      <c r="E129" s="44" t="s">
        <v>180</v>
      </c>
      <c r="F129" s="46" t="n">
        <f aca="false">Смета!H246</f>
        <v>14</v>
      </c>
      <c r="G129" s="47" t="n">
        <v>1788</v>
      </c>
      <c r="H129" s="47" t="n">
        <f aca="false">ROUND(F129*G129,2)</f>
        <v>25032</v>
      </c>
      <c r="I129" s="45" t="s">
        <v>738</v>
      </c>
      <c r="J129" s="44" t="str">
        <f aca="false">Смета!S246</f>
        <v>УЧТЕНО</v>
      </c>
      <c r="K129" s="45" t="s">
        <v>633</v>
      </c>
      <c r="L129" s="1" t="s">
        <v>59</v>
      </c>
    </row>
    <row r="130" customFormat="false" ht="21" hidden="false" customHeight="true" outlineLevel="0" collapsed="false">
      <c r="A130" s="44" t="n">
        <v>3</v>
      </c>
      <c r="B130" s="44" t="s">
        <v>74</v>
      </c>
      <c r="C130" s="44" t="s">
        <v>195</v>
      </c>
      <c r="D130" s="45" t="s">
        <v>211</v>
      </c>
      <c r="E130" s="44" t="s">
        <v>212</v>
      </c>
      <c r="F130" s="46" t="n">
        <f aca="false">Смета!H247</f>
        <v>1</v>
      </c>
      <c r="G130" s="47" t="n">
        <f aca="false">ROUND(SUMIFS($H$97:$H$129,$L$97:$L$129,L130,$J$97:$J$129,J130)*2%,2)</f>
        <v>77217.49</v>
      </c>
      <c r="H130" s="47" t="n">
        <f aca="false">ROUND(F130*G130,2)</f>
        <v>77217.49</v>
      </c>
      <c r="I130" s="45" t="s">
        <v>740</v>
      </c>
      <c r="J130" s="44" t="str">
        <f aca="false">Смета!S247</f>
        <v>УЧТЕНО</v>
      </c>
      <c r="K130" s="45" t="s">
        <v>634</v>
      </c>
      <c r="L130" s="1" t="s">
        <v>59</v>
      </c>
    </row>
    <row r="131" customFormat="false" ht="27.75" hidden="false" customHeight="true" outlineLevel="0" collapsed="false">
      <c r="A131" s="44" t="n">
        <v>4</v>
      </c>
      <c r="B131" s="44" t="s">
        <v>54</v>
      </c>
      <c r="C131" s="44" t="s">
        <v>65</v>
      </c>
      <c r="D131" s="45" t="s">
        <v>648</v>
      </c>
      <c r="E131" s="44" t="s">
        <v>649</v>
      </c>
      <c r="F131" s="46" t="n">
        <f aca="false">Смета!H257</f>
        <v>1</v>
      </c>
      <c r="G131" s="47" t="n">
        <v>2147698.44</v>
      </c>
      <c r="H131" s="47" t="n">
        <f aca="false">ROUND(F131*G131,2)</f>
        <v>2147698.44</v>
      </c>
      <c r="I131" s="45" t="s">
        <v>733</v>
      </c>
      <c r="J131" s="44" t="str">
        <f aca="false">Смета!S257</f>
        <v>УЧТЕНО</v>
      </c>
      <c r="K131" s="45" t="s">
        <v>777</v>
      </c>
      <c r="L131" s="1" t="s">
        <v>59</v>
      </c>
    </row>
    <row r="132" customFormat="false" ht="27.75" hidden="false" customHeight="true" outlineLevel="0" collapsed="false">
      <c r="A132" s="44" t="n">
        <v>4</v>
      </c>
      <c r="B132" s="44" t="s">
        <v>54</v>
      </c>
      <c r="C132" s="44" t="s">
        <v>68</v>
      </c>
      <c r="D132" s="45" t="s">
        <v>651</v>
      </c>
      <c r="E132" s="44" t="s">
        <v>649</v>
      </c>
      <c r="F132" s="46" t="n">
        <f aca="false">Смета!H258</f>
        <v>1</v>
      </c>
      <c r="G132" s="47" t="n">
        <v>257723.81</v>
      </c>
      <c r="H132" s="47" t="n">
        <f aca="false">ROUND(F132*G132,2)</f>
        <v>257723.81</v>
      </c>
      <c r="I132" s="45" t="s">
        <v>740</v>
      </c>
      <c r="J132" s="44" t="str">
        <f aca="false">Смета!S258</f>
        <v>УЧТЕНО</v>
      </c>
      <c r="K132" s="45" t="s">
        <v>778</v>
      </c>
      <c r="L132" s="1" t="s">
        <v>59</v>
      </c>
    </row>
    <row r="133" customFormat="false" ht="21" hidden="false" customHeight="true" outlineLevel="0" collapsed="false">
      <c r="A133" s="44" t="n">
        <v>4</v>
      </c>
      <c r="B133" s="44" t="s">
        <v>74</v>
      </c>
      <c r="C133" s="44" t="s">
        <v>75</v>
      </c>
      <c r="D133" s="45" t="s">
        <v>656</v>
      </c>
      <c r="E133" s="44" t="s">
        <v>180</v>
      </c>
      <c r="F133" s="46" t="n">
        <f aca="false">Смета!H262</f>
        <v>1</v>
      </c>
      <c r="G133" s="47" t="n">
        <v>159540</v>
      </c>
      <c r="H133" s="47" t="n">
        <f aca="false">ROUND(F133*G133,2)</f>
        <v>159540</v>
      </c>
      <c r="I133" s="45" t="s">
        <v>733</v>
      </c>
      <c r="J133" s="44" t="str">
        <f aca="false">Смета!S262</f>
        <v>УЧТЕНО</v>
      </c>
      <c r="K133" s="45" t="s">
        <v>657</v>
      </c>
      <c r="L133" s="1" t="s">
        <v>59</v>
      </c>
    </row>
    <row r="134" customFormat="false" ht="27.75" hidden="false" customHeight="true" outlineLevel="0" collapsed="false">
      <c r="A134" s="44" t="n">
        <v>5</v>
      </c>
      <c r="B134" s="44" t="s">
        <v>54</v>
      </c>
      <c r="C134" s="44" t="s">
        <v>304</v>
      </c>
      <c r="D134" s="45" t="s">
        <v>676</v>
      </c>
      <c r="E134" s="44" t="s">
        <v>677</v>
      </c>
      <c r="F134" s="46" t="n">
        <f aca="false">Смета!H275</f>
        <v>12</v>
      </c>
      <c r="G134" s="47" t="n">
        <v>127.68</v>
      </c>
      <c r="H134" s="47" t="n">
        <f aca="false">ROUND(F134*G134,2)</f>
        <v>1532.16</v>
      </c>
      <c r="I134" s="45" t="s">
        <v>738</v>
      </c>
      <c r="J134" s="44" t="str">
        <f aca="false">Смета!S275</f>
        <v>УЧТЕНО</v>
      </c>
      <c r="K134" s="45" t="s">
        <v>678</v>
      </c>
      <c r="L134" s="1" t="s">
        <v>59</v>
      </c>
    </row>
    <row r="135" customFormat="false" ht="27.75" hidden="false" customHeight="true" outlineLevel="0" collapsed="false">
      <c r="A135" s="44" t="n">
        <v>5</v>
      </c>
      <c r="B135" s="44" t="s">
        <v>54</v>
      </c>
      <c r="C135" s="44" t="s">
        <v>307</v>
      </c>
      <c r="D135" s="45" t="s">
        <v>679</v>
      </c>
      <c r="E135" s="44" t="s">
        <v>190</v>
      </c>
      <c r="F135" s="46" t="n">
        <f aca="false">Смета!H276</f>
        <v>725</v>
      </c>
      <c r="G135" s="47" t="n">
        <v>21.95</v>
      </c>
      <c r="H135" s="47" t="n">
        <f aca="false">ROUND(F135*G135,2)</f>
        <v>15913.75</v>
      </c>
      <c r="I135" s="45" t="s">
        <v>733</v>
      </c>
      <c r="J135" s="44" t="str">
        <f aca="false">Смета!S276</f>
        <v>УЧТЕНО</v>
      </c>
      <c r="K135" s="45" t="s">
        <v>680</v>
      </c>
      <c r="L135" s="1" t="s">
        <v>59</v>
      </c>
    </row>
    <row r="136" customFormat="false" ht="27.75" hidden="false" customHeight="true" outlineLevel="0" collapsed="false">
      <c r="A136" s="44" t="n">
        <v>5</v>
      </c>
      <c r="B136" s="44" t="s">
        <v>54</v>
      </c>
      <c r="C136" s="44" t="s">
        <v>310</v>
      </c>
      <c r="D136" s="45" t="s">
        <v>681</v>
      </c>
      <c r="E136" s="44" t="s">
        <v>190</v>
      </c>
      <c r="F136" s="46" t="n">
        <f aca="false">Смета!H277</f>
        <v>138</v>
      </c>
      <c r="G136" s="47" t="n">
        <v>428.45</v>
      </c>
      <c r="H136" s="47" t="n">
        <f aca="false">ROUND(F136*G136,2)</f>
        <v>59126.1</v>
      </c>
      <c r="I136" s="45" t="s">
        <v>733</v>
      </c>
      <c r="J136" s="44" t="str">
        <f aca="false">Смета!S277</f>
        <v>УЧТЕНО</v>
      </c>
      <c r="K136" s="45" t="s">
        <v>682</v>
      </c>
      <c r="L136" s="1" t="s">
        <v>59</v>
      </c>
    </row>
    <row r="137" customFormat="false" ht="27.75" hidden="false" customHeight="true" outlineLevel="0" collapsed="false">
      <c r="A137" s="44" t="n">
        <v>5</v>
      </c>
      <c r="B137" s="44" t="s">
        <v>54</v>
      </c>
      <c r="C137" s="44" t="s">
        <v>313</v>
      </c>
      <c r="D137" s="45" t="s">
        <v>683</v>
      </c>
      <c r="E137" s="44" t="s">
        <v>135</v>
      </c>
      <c r="F137" s="46" t="n">
        <f aca="false">Смета!H278</f>
        <v>50</v>
      </c>
      <c r="G137" s="47" t="n">
        <v>159.24</v>
      </c>
      <c r="H137" s="47" t="n">
        <f aca="false">ROUND(F137*G137,2)</f>
        <v>7962</v>
      </c>
      <c r="I137" s="45" t="s">
        <v>733</v>
      </c>
      <c r="J137" s="44" t="str">
        <f aca="false">Смета!S278</f>
        <v>УЧТЕНО</v>
      </c>
      <c r="K137" s="45" t="s">
        <v>684</v>
      </c>
      <c r="L137" s="1" t="s">
        <v>59</v>
      </c>
    </row>
    <row r="138" customFormat="false" ht="27.75" hidden="false" customHeight="true" outlineLevel="0" collapsed="false">
      <c r="A138" s="44" t="n">
        <v>5</v>
      </c>
      <c r="B138" s="44" t="s">
        <v>54</v>
      </c>
      <c r="C138" s="44" t="s">
        <v>316</v>
      </c>
      <c r="D138" s="45" t="s">
        <v>685</v>
      </c>
      <c r="E138" s="44" t="s">
        <v>190</v>
      </c>
      <c r="F138" s="46" t="n">
        <f aca="false">Смета!H279</f>
        <v>12</v>
      </c>
      <c r="G138" s="47" t="n">
        <v>513.84</v>
      </c>
      <c r="H138" s="47" t="n">
        <f aca="false">ROUND(F138*G138,2)</f>
        <v>6166.08</v>
      </c>
      <c r="I138" s="45" t="s">
        <v>733</v>
      </c>
      <c r="J138" s="44" t="str">
        <f aca="false">Смета!S279</f>
        <v>УЧТЕНО</v>
      </c>
      <c r="K138" s="45" t="s">
        <v>686</v>
      </c>
      <c r="L138" s="1" t="s">
        <v>59</v>
      </c>
    </row>
    <row r="139" customFormat="false" ht="27.75" hidden="false" customHeight="true" outlineLevel="0" collapsed="false">
      <c r="A139" s="44" t="n">
        <v>5</v>
      </c>
      <c r="B139" s="44" t="s">
        <v>54</v>
      </c>
      <c r="C139" s="44" t="s">
        <v>319</v>
      </c>
      <c r="D139" s="45" t="s">
        <v>687</v>
      </c>
      <c r="E139" s="44" t="s">
        <v>190</v>
      </c>
      <c r="F139" s="46" t="n">
        <f aca="false">Смета!H280</f>
        <v>3</v>
      </c>
      <c r="G139" s="47" t="n">
        <v>303</v>
      </c>
      <c r="H139" s="47" t="n">
        <f aca="false">ROUND(F139*G139,2)</f>
        <v>909</v>
      </c>
      <c r="I139" s="45" t="s">
        <v>733</v>
      </c>
      <c r="J139" s="44" t="str">
        <f aca="false">Смета!S280</f>
        <v>УЧТЕНО</v>
      </c>
      <c r="K139" s="45" t="s">
        <v>688</v>
      </c>
      <c r="L139" s="1" t="s">
        <v>59</v>
      </c>
    </row>
    <row r="140" customFormat="false" ht="27.75" hidden="false" customHeight="true" outlineLevel="0" collapsed="false">
      <c r="A140" s="44" t="n">
        <v>5</v>
      </c>
      <c r="B140" s="44" t="s">
        <v>54</v>
      </c>
      <c r="C140" s="44" t="s">
        <v>322</v>
      </c>
      <c r="D140" s="45" t="s">
        <v>689</v>
      </c>
      <c r="E140" s="44" t="s">
        <v>180</v>
      </c>
      <c r="F140" s="46" t="n">
        <f aca="false">Смета!H281</f>
        <v>1748</v>
      </c>
      <c r="G140" s="47" t="n">
        <v>339.07</v>
      </c>
      <c r="H140" s="47" t="n">
        <f aca="false">ROUND(F140*G140,2)</f>
        <v>592694.36</v>
      </c>
      <c r="I140" s="45" t="s">
        <v>733</v>
      </c>
      <c r="J140" s="44" t="str">
        <f aca="false">Смета!S281</f>
        <v>УЧТЕНО</v>
      </c>
      <c r="K140" s="45" t="s">
        <v>690</v>
      </c>
      <c r="L140" s="1" t="s">
        <v>59</v>
      </c>
    </row>
    <row r="141" customFormat="false" ht="27.75" hidden="false" customHeight="true" outlineLevel="0" collapsed="false">
      <c r="A141" s="44" t="n">
        <v>5</v>
      </c>
      <c r="B141" s="44" t="s">
        <v>54</v>
      </c>
      <c r="C141" s="44" t="s">
        <v>325</v>
      </c>
      <c r="D141" s="45" t="s">
        <v>691</v>
      </c>
      <c r="E141" s="44" t="s">
        <v>190</v>
      </c>
      <c r="F141" s="46" t="n">
        <f aca="false">Смета!H282</f>
        <v>225</v>
      </c>
      <c r="G141" s="47" t="n">
        <v>59.75</v>
      </c>
      <c r="H141" s="47" t="n">
        <f aca="false">ROUND(F141*G141,2)</f>
        <v>13443.75</v>
      </c>
      <c r="I141" s="45" t="s">
        <v>733</v>
      </c>
      <c r="J141" s="44" t="str">
        <f aca="false">Смета!S282</f>
        <v>УЧТЕНО</v>
      </c>
      <c r="K141" s="45" t="s">
        <v>692</v>
      </c>
      <c r="L141" s="1" t="s">
        <v>59</v>
      </c>
    </row>
    <row r="142" customFormat="false" ht="27.75" hidden="false" customHeight="true" outlineLevel="0" collapsed="false">
      <c r="A142" s="44" t="n">
        <v>5</v>
      </c>
      <c r="B142" s="44" t="s">
        <v>54</v>
      </c>
      <c r="C142" s="44" t="s">
        <v>329</v>
      </c>
      <c r="D142" s="45" t="s">
        <v>693</v>
      </c>
      <c r="E142" s="44" t="s">
        <v>190</v>
      </c>
      <c r="F142" s="46" t="n">
        <f aca="false">Смета!H283</f>
        <v>178</v>
      </c>
      <c r="G142" s="47" t="n">
        <v>166.03</v>
      </c>
      <c r="H142" s="47" t="n">
        <f aca="false">ROUND(F142*G142,2)</f>
        <v>29553.34</v>
      </c>
      <c r="I142" s="45" t="s">
        <v>733</v>
      </c>
      <c r="J142" s="44" t="str">
        <f aca="false">Смета!S283</f>
        <v>УЧТЕНО</v>
      </c>
      <c r="K142" s="45" t="s">
        <v>694</v>
      </c>
      <c r="L142" s="1" t="s">
        <v>59</v>
      </c>
    </row>
    <row r="143" customFormat="false" ht="27.75" hidden="false" customHeight="true" outlineLevel="0" collapsed="false">
      <c r="A143" s="44" t="n">
        <v>5</v>
      </c>
      <c r="B143" s="44" t="s">
        <v>54</v>
      </c>
      <c r="C143" s="44" t="s">
        <v>332</v>
      </c>
      <c r="D143" s="45" t="s">
        <v>695</v>
      </c>
      <c r="E143" s="44" t="s">
        <v>677</v>
      </c>
      <c r="F143" s="46" t="n">
        <f aca="false">Смета!H284</f>
        <v>9</v>
      </c>
      <c r="G143" s="47" t="n">
        <v>886.8</v>
      </c>
      <c r="H143" s="47" t="n">
        <f aca="false">ROUND(F143*G143,2)</f>
        <v>7981.2</v>
      </c>
      <c r="I143" s="45" t="s">
        <v>733</v>
      </c>
      <c r="J143" s="44" t="str">
        <f aca="false">Смета!S284</f>
        <v>УЧТЕНО</v>
      </c>
      <c r="K143" s="45" t="s">
        <v>696</v>
      </c>
      <c r="L143" s="1" t="s">
        <v>59</v>
      </c>
    </row>
    <row r="144" customFormat="false" ht="27.75" hidden="false" customHeight="true" outlineLevel="0" collapsed="false">
      <c r="A144" s="44" t="n">
        <v>5</v>
      </c>
      <c r="B144" s="44" t="s">
        <v>54</v>
      </c>
      <c r="C144" s="44" t="s">
        <v>335</v>
      </c>
      <c r="D144" s="45" t="s">
        <v>697</v>
      </c>
      <c r="E144" s="44" t="s">
        <v>180</v>
      </c>
      <c r="F144" s="46" t="n">
        <f aca="false">Смета!H285</f>
        <v>40</v>
      </c>
      <c r="G144" s="47" t="n">
        <v>585.6</v>
      </c>
      <c r="H144" s="47" t="n">
        <f aca="false">ROUND(F144*G144,2)</f>
        <v>23424</v>
      </c>
      <c r="I144" s="45" t="s">
        <v>738</v>
      </c>
      <c r="J144" s="44" t="str">
        <f aca="false">Смета!S285</f>
        <v>УЧТЕНО</v>
      </c>
      <c r="K144" s="45" t="s">
        <v>698</v>
      </c>
      <c r="L144" s="1" t="s">
        <v>59</v>
      </c>
    </row>
    <row r="145" customFormat="false" ht="27.75" hidden="false" customHeight="true" outlineLevel="0" collapsed="false">
      <c r="A145" s="44" t="n">
        <v>5</v>
      </c>
      <c r="B145" s="44" t="s">
        <v>54</v>
      </c>
      <c r="C145" s="44" t="s">
        <v>338</v>
      </c>
      <c r="D145" s="45" t="s">
        <v>699</v>
      </c>
      <c r="E145" s="44" t="s">
        <v>180</v>
      </c>
      <c r="F145" s="46" t="n">
        <f aca="false">Смета!H286</f>
        <v>12</v>
      </c>
      <c r="G145" s="47" t="n">
        <v>636</v>
      </c>
      <c r="H145" s="47" t="n">
        <f aca="false">ROUND(F145*G145,2)</f>
        <v>7632</v>
      </c>
      <c r="I145" s="45" t="s">
        <v>733</v>
      </c>
      <c r="J145" s="44" t="str">
        <f aca="false">Смета!S286</f>
        <v>УЧТЕНО</v>
      </c>
      <c r="K145" s="45" t="s">
        <v>700</v>
      </c>
      <c r="L145" s="1" t="s">
        <v>59</v>
      </c>
    </row>
    <row r="146" customFormat="false" ht="27.75" hidden="false" customHeight="true" outlineLevel="0" collapsed="false">
      <c r="A146" s="44" t="n">
        <v>5</v>
      </c>
      <c r="B146" s="44" t="s">
        <v>54</v>
      </c>
      <c r="C146" s="44" t="s">
        <v>341</v>
      </c>
      <c r="D146" s="45" t="s">
        <v>701</v>
      </c>
      <c r="E146" s="44" t="s">
        <v>677</v>
      </c>
      <c r="F146" s="46" t="n">
        <f aca="false">Смета!H287</f>
        <v>1</v>
      </c>
      <c r="G146" s="47" t="n">
        <v>951.46</v>
      </c>
      <c r="H146" s="47" t="n">
        <f aca="false">ROUND(F146*G146,2)</f>
        <v>951.46</v>
      </c>
      <c r="I146" s="45" t="s">
        <v>733</v>
      </c>
      <c r="J146" s="44" t="str">
        <f aca="false">Смета!S287</f>
        <v>УЧТЕНО</v>
      </c>
      <c r="K146" s="45" t="s">
        <v>702</v>
      </c>
      <c r="L146" s="1" t="s">
        <v>59</v>
      </c>
    </row>
    <row r="147" customFormat="false" ht="27.75" hidden="false" customHeight="true" outlineLevel="0" collapsed="false">
      <c r="A147" s="44" t="n">
        <v>5</v>
      </c>
      <c r="B147" s="44" t="s">
        <v>54</v>
      </c>
      <c r="C147" s="44" t="s">
        <v>344</v>
      </c>
      <c r="D147" s="45" t="s">
        <v>703</v>
      </c>
      <c r="E147" s="44" t="s">
        <v>677</v>
      </c>
      <c r="F147" s="46" t="n">
        <f aca="false">Смета!H288</f>
        <v>20</v>
      </c>
      <c r="G147" s="47" t="n">
        <v>161.28</v>
      </c>
      <c r="H147" s="47" t="n">
        <f aca="false">ROUND(F147*G147,2)</f>
        <v>3225.6</v>
      </c>
      <c r="I147" s="45" t="s">
        <v>738</v>
      </c>
      <c r="J147" s="44" t="str">
        <f aca="false">Смета!S288</f>
        <v>УЧТЕНО</v>
      </c>
      <c r="K147" s="45" t="s">
        <v>704</v>
      </c>
      <c r="L147" s="1" t="s">
        <v>59</v>
      </c>
    </row>
    <row r="148" customFormat="false" ht="21" hidden="false" customHeight="true" outlineLevel="0" collapsed="false">
      <c r="A148" s="44" t="n">
        <v>5</v>
      </c>
      <c r="B148" s="44" t="s">
        <v>54</v>
      </c>
      <c r="C148" s="44" t="s">
        <v>347</v>
      </c>
      <c r="D148" s="45" t="s">
        <v>211</v>
      </c>
      <c r="E148" s="44" t="s">
        <v>212</v>
      </c>
      <c r="F148" s="46" t="n">
        <f aca="false">Смета!H289</f>
        <v>1</v>
      </c>
      <c r="G148" s="47" t="n">
        <f aca="false">ROUND(SUMIFS($H$134:$H$147,$L$134:$L$147,L148,$J$134:$J$147,J148)*2%,2)</f>
        <v>15410.3</v>
      </c>
      <c r="H148" s="47" t="n">
        <f aca="false">ROUND(F148*G148,2)</f>
        <v>15410.3</v>
      </c>
      <c r="I148" s="45" t="s">
        <v>740</v>
      </c>
      <c r="J148" s="44" t="str">
        <f aca="false">Смета!S289</f>
        <v>УЧТЕНО</v>
      </c>
      <c r="K148" s="45" t="s">
        <v>705</v>
      </c>
      <c r="L148" s="1" t="s">
        <v>59</v>
      </c>
    </row>
    <row r="150" customFormat="false" ht="15" hidden="false" customHeight="true" outlineLevel="0" collapsed="false">
      <c r="A150" s="52"/>
      <c r="B150" s="52"/>
      <c r="C150" s="52"/>
      <c r="D150" s="52" t="s">
        <v>779</v>
      </c>
      <c r="E150" s="52"/>
      <c r="F150" s="52"/>
      <c r="G150" s="52"/>
      <c r="H150" s="53" t="n">
        <f aca="false">ROUND(SUMIF($J$6:$J$148,"УЧТЕНО",$H$6:$H$148),2)</f>
        <v>19868474.59</v>
      </c>
      <c r="I150" s="52"/>
      <c r="J150" s="52"/>
      <c r="K150" s="52"/>
    </row>
    <row r="151" customFormat="false" ht="15" hidden="false" customHeight="true" outlineLevel="0" collapsed="false">
      <c r="A151" s="54"/>
      <c r="B151" s="54"/>
      <c r="C151" s="54"/>
      <c r="D151" s="54" t="s">
        <v>780</v>
      </c>
      <c r="E151" s="54"/>
      <c r="F151" s="54"/>
      <c r="G151" s="54"/>
      <c r="H151" s="55" t="n">
        <f aca="false">ROUND(SUMIF($J$6:$J$148,"НЕ УЧТЕНО",$H$6:$H$148),2)</f>
        <v>71034.6</v>
      </c>
      <c r="I151" s="54"/>
      <c r="J151" s="54"/>
      <c r="K151" s="54"/>
    </row>
  </sheetData>
  <mergeCells count="9">
    <mergeCell ref="A1:D1"/>
    <mergeCell ref="E1:I1"/>
    <mergeCell ref="J1:K1"/>
    <mergeCell ref="A2:D2"/>
    <mergeCell ref="E2:I2"/>
    <mergeCell ref="J2:K2"/>
    <mergeCell ref="A3:D3"/>
    <mergeCell ref="E3:I3"/>
    <mergeCell ref="J3:K3"/>
  </mergeCells>
  <printOptions headings="false" gridLines="false" gridLinesSet="true" horizontalCentered="false" verticalCentered="false"/>
  <pageMargins left="0.2" right="0.2" top="0.35" bottom="0.3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&amp;CЗаказ 8012&amp;RСтр.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true"/>
  </sheetPr>
  <dimension ref="A1:J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21"/>
    <col collapsed="false" customWidth="true" hidden="false" outlineLevel="0" max="2" min="2" style="1" width="18"/>
    <col collapsed="false" customWidth="true" hidden="false" outlineLevel="0" max="3" min="3" style="1" width="45"/>
    <col collapsed="false" customWidth="true" hidden="false" outlineLevel="0" max="4" min="4" style="1" width="24"/>
    <col collapsed="false" customWidth="true" hidden="false" outlineLevel="0" max="5" min="5" style="1" width="16"/>
    <col collapsed="false" customWidth="true" hidden="false" outlineLevel="0" max="6" min="6" style="1" width="20"/>
    <col collapsed="false" customWidth="true" hidden="false" outlineLevel="0" max="7" min="7" style="1" width="22"/>
    <col collapsed="false" customWidth="true" hidden="false" outlineLevel="0" max="8" min="8" style="1" width="12"/>
    <col collapsed="false" customWidth="true" hidden="false" outlineLevel="0" max="9" min="9" style="1" width="55"/>
    <col collapsed="false" customWidth="true" hidden="false" outlineLevel="0" max="10" min="10" style="1" width="48"/>
  </cols>
  <sheetData>
    <row r="1" customFormat="false" ht="27.75" hidden="false" customHeight="true" outlineLevel="0" collapsed="false">
      <c r="A1" s="56" t="s">
        <v>781</v>
      </c>
      <c r="B1" s="56"/>
      <c r="C1" s="56"/>
      <c r="D1" s="56" t="s">
        <v>782</v>
      </c>
      <c r="E1" s="56"/>
      <c r="F1" s="56"/>
      <c r="G1" s="56"/>
      <c r="H1" s="56" t="s">
        <v>783</v>
      </c>
      <c r="I1" s="56"/>
      <c r="J1" s="57" t="s">
        <v>784</v>
      </c>
    </row>
    <row r="3" customFormat="false" ht="15" hidden="false" customHeight="true" outlineLevel="0" collapsed="false">
      <c r="A3" s="58" t="s">
        <v>785</v>
      </c>
      <c r="B3" s="58" t="s">
        <v>786</v>
      </c>
      <c r="C3" s="58" t="s">
        <v>787</v>
      </c>
    </row>
    <row r="4" customFormat="false" ht="15" hidden="false" customHeight="true" outlineLevel="0" collapsed="false">
      <c r="A4" s="59" t="s">
        <v>788</v>
      </c>
      <c r="B4" s="60" t="n">
        <v>0.3</v>
      </c>
      <c r="C4" s="61" t="s">
        <v>789</v>
      </c>
    </row>
    <row r="5" customFormat="false" ht="21.75" hidden="false" customHeight="true" outlineLevel="0" collapsed="false">
      <c r="A5" s="59" t="s">
        <v>790</v>
      </c>
      <c r="B5" s="61" t="n">
        <v>1.22</v>
      </c>
      <c r="C5" s="61" t="s">
        <v>791</v>
      </c>
    </row>
    <row r="6" customFormat="false" ht="15" hidden="false" customHeight="true" outlineLevel="0" collapsed="false">
      <c r="A6" s="59" t="s">
        <v>792</v>
      </c>
      <c r="B6" s="62" t="n">
        <v>46225</v>
      </c>
      <c r="C6" s="61" t="s">
        <v>793</v>
      </c>
    </row>
    <row r="7" customFormat="false" ht="21.75" hidden="false" customHeight="true" outlineLevel="0" collapsed="false">
      <c r="A7" s="59" t="s">
        <v>794</v>
      </c>
      <c r="B7" s="63" t="s">
        <v>795</v>
      </c>
      <c r="C7" s="61" t="s">
        <v>796</v>
      </c>
    </row>
    <row r="9" customFormat="false" ht="48" hidden="false" customHeight="true" outlineLevel="0" collapsed="false">
      <c r="A9" s="5" t="s">
        <v>797</v>
      </c>
      <c r="B9" s="5" t="s">
        <v>798</v>
      </c>
      <c r="C9" s="5" t="s">
        <v>799</v>
      </c>
      <c r="D9" s="5" t="s">
        <v>800</v>
      </c>
      <c r="E9" s="5" t="s">
        <v>801</v>
      </c>
      <c r="F9" s="5" t="s">
        <v>8</v>
      </c>
      <c r="G9" s="5" t="s">
        <v>50</v>
      </c>
      <c r="H9" s="5" t="s">
        <v>802</v>
      </c>
      <c r="I9" s="5" t="s">
        <v>803</v>
      </c>
      <c r="J9" s="5" t="s">
        <v>804</v>
      </c>
    </row>
    <row r="10" customFormat="false" ht="37.5" hidden="false" customHeight="true" outlineLevel="0" collapsed="false">
      <c r="A10" s="64" t="s">
        <v>805</v>
      </c>
      <c r="B10" s="64" t="s">
        <v>806</v>
      </c>
      <c r="C10" s="64" t="s">
        <v>807</v>
      </c>
      <c r="D10" s="64" t="s">
        <v>733</v>
      </c>
      <c r="E10" s="64" t="s">
        <v>808</v>
      </c>
      <c r="F10" s="64" t="s">
        <v>809</v>
      </c>
      <c r="G10" s="65" t="s">
        <v>810</v>
      </c>
      <c r="H10" s="66" t="n">
        <v>46225</v>
      </c>
      <c r="I10" s="67" t="s">
        <v>811</v>
      </c>
      <c r="J10" s="64" t="s">
        <v>812</v>
      </c>
    </row>
    <row r="11" customFormat="false" ht="37.5" hidden="false" customHeight="true" outlineLevel="0" collapsed="false">
      <c r="A11" s="64" t="s">
        <v>813</v>
      </c>
      <c r="B11" s="64" t="s">
        <v>806</v>
      </c>
      <c r="C11" s="64" t="s">
        <v>814</v>
      </c>
      <c r="D11" s="64" t="s">
        <v>733</v>
      </c>
      <c r="E11" s="64" t="s">
        <v>808</v>
      </c>
      <c r="F11" s="64" t="s">
        <v>809</v>
      </c>
      <c r="G11" s="65" t="s">
        <v>810</v>
      </c>
      <c r="H11" s="66" t="n">
        <v>46225</v>
      </c>
      <c r="I11" s="67" t="s">
        <v>815</v>
      </c>
      <c r="J11" s="64" t="s">
        <v>812</v>
      </c>
    </row>
    <row r="12" customFormat="false" ht="37.5" hidden="false" customHeight="true" outlineLevel="0" collapsed="false">
      <c r="A12" s="64" t="s">
        <v>816</v>
      </c>
      <c r="B12" s="64" t="s">
        <v>806</v>
      </c>
      <c r="C12" s="64" t="s">
        <v>817</v>
      </c>
      <c r="D12" s="64" t="s">
        <v>733</v>
      </c>
      <c r="E12" s="64" t="s">
        <v>808</v>
      </c>
      <c r="F12" s="64" t="s">
        <v>809</v>
      </c>
      <c r="G12" s="65" t="s">
        <v>810</v>
      </c>
      <c r="H12" s="66" t="n">
        <v>46225</v>
      </c>
      <c r="I12" s="67" t="s">
        <v>818</v>
      </c>
      <c r="J12" s="64" t="s">
        <v>812</v>
      </c>
    </row>
    <row r="13" customFormat="false" ht="37.5" hidden="false" customHeight="true" outlineLevel="0" collapsed="false">
      <c r="A13" s="64" t="s">
        <v>819</v>
      </c>
      <c r="B13" s="64" t="s">
        <v>806</v>
      </c>
      <c r="C13" s="64" t="s">
        <v>820</v>
      </c>
      <c r="D13" s="64" t="s">
        <v>733</v>
      </c>
      <c r="E13" s="64" t="s">
        <v>808</v>
      </c>
      <c r="F13" s="64" t="s">
        <v>809</v>
      </c>
      <c r="G13" s="65" t="s">
        <v>810</v>
      </c>
      <c r="H13" s="66" t="n">
        <v>46225</v>
      </c>
      <c r="I13" s="67" t="s">
        <v>821</v>
      </c>
      <c r="J13" s="64" t="s">
        <v>812</v>
      </c>
    </row>
    <row r="14" customFormat="false" ht="37.5" hidden="false" customHeight="true" outlineLevel="0" collapsed="false">
      <c r="A14" s="64" t="s">
        <v>822</v>
      </c>
      <c r="B14" s="64" t="s">
        <v>806</v>
      </c>
      <c r="C14" s="64" t="s">
        <v>823</v>
      </c>
      <c r="D14" s="64" t="s">
        <v>733</v>
      </c>
      <c r="E14" s="64" t="s">
        <v>808</v>
      </c>
      <c r="F14" s="64" t="s">
        <v>809</v>
      </c>
      <c r="G14" s="65" t="s">
        <v>810</v>
      </c>
      <c r="H14" s="66" t="n">
        <v>46225</v>
      </c>
      <c r="I14" s="67" t="s">
        <v>824</v>
      </c>
      <c r="J14" s="64" t="s">
        <v>812</v>
      </c>
    </row>
    <row r="15" customFormat="false" ht="37.5" hidden="false" customHeight="true" outlineLevel="0" collapsed="false">
      <c r="A15" s="64" t="s">
        <v>825</v>
      </c>
      <c r="B15" s="64" t="s">
        <v>826</v>
      </c>
      <c r="C15" s="64" t="s">
        <v>827</v>
      </c>
      <c r="D15" s="64" t="s">
        <v>828</v>
      </c>
      <c r="E15" s="64" t="s">
        <v>808</v>
      </c>
      <c r="F15" s="64" t="s">
        <v>809</v>
      </c>
      <c r="G15" s="65" t="s">
        <v>810</v>
      </c>
      <c r="H15" s="66" t="n">
        <v>46225</v>
      </c>
      <c r="I15" s="67" t="s">
        <v>829</v>
      </c>
      <c r="J15" s="64" t="s">
        <v>812</v>
      </c>
    </row>
    <row r="16" customFormat="false" ht="37.5" hidden="false" customHeight="true" outlineLevel="0" collapsed="false">
      <c r="A16" s="64" t="s">
        <v>830</v>
      </c>
      <c r="B16" s="64" t="s">
        <v>826</v>
      </c>
      <c r="C16" s="64" t="s">
        <v>831</v>
      </c>
      <c r="D16" s="64" t="s">
        <v>828</v>
      </c>
      <c r="E16" s="64" t="s">
        <v>808</v>
      </c>
      <c r="F16" s="64" t="s">
        <v>809</v>
      </c>
      <c r="G16" s="65" t="s">
        <v>810</v>
      </c>
      <c r="H16" s="66" t="n">
        <v>46225</v>
      </c>
      <c r="I16" s="67" t="s">
        <v>832</v>
      </c>
      <c r="J16" s="64" t="s">
        <v>812</v>
      </c>
    </row>
    <row r="17" customFormat="false" ht="37.5" hidden="false" customHeight="true" outlineLevel="0" collapsed="false">
      <c r="A17" s="64" t="s">
        <v>833</v>
      </c>
      <c r="B17" s="64" t="s">
        <v>826</v>
      </c>
      <c r="C17" s="64" t="s">
        <v>834</v>
      </c>
      <c r="D17" s="64" t="s">
        <v>828</v>
      </c>
      <c r="E17" s="64" t="s">
        <v>808</v>
      </c>
      <c r="F17" s="64" t="s">
        <v>809</v>
      </c>
      <c r="G17" s="65" t="s">
        <v>810</v>
      </c>
      <c r="H17" s="66" t="n">
        <v>46225</v>
      </c>
      <c r="I17" s="67" t="s">
        <v>835</v>
      </c>
      <c r="J17" s="64" t="s">
        <v>812</v>
      </c>
    </row>
    <row r="18" customFormat="false" ht="37.5" hidden="false" customHeight="true" outlineLevel="0" collapsed="false">
      <c r="A18" s="64" t="s">
        <v>836</v>
      </c>
      <c r="B18" s="64" t="s">
        <v>826</v>
      </c>
      <c r="C18" s="64" t="s">
        <v>837</v>
      </c>
      <c r="D18" s="64" t="s">
        <v>828</v>
      </c>
      <c r="E18" s="64" t="s">
        <v>808</v>
      </c>
      <c r="F18" s="64" t="s">
        <v>809</v>
      </c>
      <c r="G18" s="65" t="s">
        <v>810</v>
      </c>
      <c r="H18" s="66" t="n">
        <v>46225</v>
      </c>
      <c r="I18" s="64" t="s">
        <v>838</v>
      </c>
      <c r="J18" s="64" t="s">
        <v>812</v>
      </c>
    </row>
    <row r="19" customFormat="false" ht="37.5" hidden="false" customHeight="true" outlineLevel="0" collapsed="false">
      <c r="A19" s="64" t="s">
        <v>839</v>
      </c>
      <c r="B19" s="64" t="s">
        <v>826</v>
      </c>
      <c r="C19" s="64" t="s">
        <v>840</v>
      </c>
      <c r="D19" s="64" t="s">
        <v>841</v>
      </c>
      <c r="E19" s="64" t="s">
        <v>808</v>
      </c>
      <c r="F19" s="64" t="s">
        <v>809</v>
      </c>
      <c r="G19" s="65" t="s">
        <v>842</v>
      </c>
      <c r="H19" s="66" t="n">
        <v>46231</v>
      </c>
      <c r="I19" s="67" t="s">
        <v>843</v>
      </c>
      <c r="J19" s="64" t="s">
        <v>844</v>
      </c>
    </row>
    <row r="20" customFormat="false" ht="37.5" hidden="false" customHeight="true" outlineLevel="0" collapsed="false">
      <c r="A20" s="64" t="s">
        <v>845</v>
      </c>
      <c r="B20" s="64" t="s">
        <v>826</v>
      </c>
      <c r="C20" s="64" t="s">
        <v>846</v>
      </c>
      <c r="D20" s="64" t="s">
        <v>828</v>
      </c>
      <c r="E20" s="64" t="s">
        <v>808</v>
      </c>
      <c r="F20" s="64" t="s">
        <v>809</v>
      </c>
      <c r="G20" s="65" t="s">
        <v>810</v>
      </c>
      <c r="H20" s="66" t="n">
        <v>46225</v>
      </c>
      <c r="I20" s="67" t="s">
        <v>847</v>
      </c>
      <c r="J20" s="64" t="s">
        <v>812</v>
      </c>
    </row>
    <row r="21" customFormat="false" ht="37.5" hidden="false" customHeight="true" outlineLevel="0" collapsed="false">
      <c r="A21" s="64" t="s">
        <v>848</v>
      </c>
      <c r="B21" s="64" t="s">
        <v>826</v>
      </c>
      <c r="C21" s="64" t="s">
        <v>849</v>
      </c>
      <c r="D21" s="64" t="s">
        <v>828</v>
      </c>
      <c r="E21" s="64" t="s">
        <v>808</v>
      </c>
      <c r="F21" s="64" t="s">
        <v>809</v>
      </c>
      <c r="G21" s="65" t="s">
        <v>810</v>
      </c>
      <c r="H21" s="66" t="n">
        <v>46225</v>
      </c>
      <c r="I21" s="64" t="s">
        <v>838</v>
      </c>
      <c r="J21" s="64" t="s">
        <v>812</v>
      </c>
    </row>
    <row r="22" customFormat="false" ht="37.5" hidden="false" customHeight="true" outlineLevel="0" collapsed="false">
      <c r="A22" s="64" t="s">
        <v>850</v>
      </c>
      <c r="B22" s="64" t="s">
        <v>826</v>
      </c>
      <c r="C22" s="64" t="s">
        <v>851</v>
      </c>
      <c r="D22" s="64" t="s">
        <v>828</v>
      </c>
      <c r="E22" s="64" t="s">
        <v>808</v>
      </c>
      <c r="F22" s="64" t="s">
        <v>809</v>
      </c>
      <c r="G22" s="65" t="s">
        <v>810</v>
      </c>
      <c r="H22" s="66" t="n">
        <v>46225</v>
      </c>
      <c r="I22" s="67" t="s">
        <v>852</v>
      </c>
      <c r="J22" s="64" t="s">
        <v>812</v>
      </c>
    </row>
    <row r="23" customFormat="false" ht="37.5" hidden="false" customHeight="true" outlineLevel="0" collapsed="false">
      <c r="A23" s="64" t="s">
        <v>853</v>
      </c>
      <c r="B23" s="64" t="s">
        <v>826</v>
      </c>
      <c r="C23" s="64" t="s">
        <v>854</v>
      </c>
      <c r="D23" s="64" t="s">
        <v>855</v>
      </c>
      <c r="E23" s="64" t="s">
        <v>808</v>
      </c>
      <c r="F23" s="64" t="s">
        <v>809</v>
      </c>
      <c r="G23" s="65" t="s">
        <v>810</v>
      </c>
      <c r="H23" s="66" t="n">
        <v>46225</v>
      </c>
      <c r="I23" s="67" t="s">
        <v>856</v>
      </c>
      <c r="J23" s="64" t="s">
        <v>812</v>
      </c>
    </row>
    <row r="24" customFormat="false" ht="37.5" hidden="false" customHeight="true" outlineLevel="0" collapsed="false">
      <c r="A24" s="64" t="s">
        <v>857</v>
      </c>
      <c r="B24" s="64" t="s">
        <v>826</v>
      </c>
      <c r="C24" s="64" t="s">
        <v>858</v>
      </c>
      <c r="D24" s="64" t="s">
        <v>828</v>
      </c>
      <c r="E24" s="64" t="s">
        <v>808</v>
      </c>
      <c r="F24" s="64" t="s">
        <v>809</v>
      </c>
      <c r="G24" s="65" t="s">
        <v>810</v>
      </c>
      <c r="H24" s="66" t="n">
        <v>46225</v>
      </c>
      <c r="I24" s="67" t="s">
        <v>859</v>
      </c>
      <c r="J24" s="64" t="s">
        <v>812</v>
      </c>
    </row>
    <row r="25" customFormat="false" ht="37.5" hidden="false" customHeight="true" outlineLevel="0" collapsed="false">
      <c r="A25" s="64" t="s">
        <v>860</v>
      </c>
      <c r="B25" s="64" t="s">
        <v>826</v>
      </c>
      <c r="C25" s="64" t="s">
        <v>861</v>
      </c>
      <c r="D25" s="64" t="s">
        <v>828</v>
      </c>
      <c r="E25" s="64" t="s">
        <v>808</v>
      </c>
      <c r="F25" s="64" t="s">
        <v>809</v>
      </c>
      <c r="G25" s="65" t="s">
        <v>810</v>
      </c>
      <c r="H25" s="66" t="n">
        <v>46225</v>
      </c>
      <c r="I25" s="67" t="s">
        <v>862</v>
      </c>
      <c r="J25" s="64" t="s">
        <v>812</v>
      </c>
    </row>
    <row r="26" customFormat="false" ht="37.5" hidden="false" customHeight="true" outlineLevel="0" collapsed="false">
      <c r="A26" s="64" t="s">
        <v>863</v>
      </c>
      <c r="B26" s="64" t="s">
        <v>826</v>
      </c>
      <c r="C26" s="64" t="s">
        <v>864</v>
      </c>
      <c r="D26" s="64" t="s">
        <v>865</v>
      </c>
      <c r="E26" s="64" t="s">
        <v>808</v>
      </c>
      <c r="F26" s="64" t="s">
        <v>809</v>
      </c>
      <c r="G26" s="65" t="s">
        <v>810</v>
      </c>
      <c r="H26" s="66" t="n">
        <v>46225</v>
      </c>
      <c r="I26" s="67" t="s">
        <v>866</v>
      </c>
      <c r="J26" s="64" t="s">
        <v>812</v>
      </c>
    </row>
    <row r="27" customFormat="false" ht="37.5" hidden="false" customHeight="true" outlineLevel="0" collapsed="false">
      <c r="A27" s="64" t="s">
        <v>867</v>
      </c>
      <c r="B27" s="64" t="s">
        <v>826</v>
      </c>
      <c r="C27" s="64" t="s">
        <v>868</v>
      </c>
      <c r="D27" s="64" t="s">
        <v>828</v>
      </c>
      <c r="E27" s="64" t="s">
        <v>808</v>
      </c>
      <c r="F27" s="64" t="s">
        <v>809</v>
      </c>
      <c r="G27" s="65" t="s">
        <v>810</v>
      </c>
      <c r="H27" s="66" t="n">
        <v>46225</v>
      </c>
      <c r="I27" s="67" t="s">
        <v>869</v>
      </c>
      <c r="J27" s="64" t="s">
        <v>812</v>
      </c>
    </row>
    <row r="28" customFormat="false" ht="37.5" hidden="false" customHeight="true" outlineLevel="0" collapsed="false">
      <c r="A28" s="64" t="s">
        <v>870</v>
      </c>
      <c r="B28" s="64" t="s">
        <v>871</v>
      </c>
      <c r="C28" s="64" t="s">
        <v>872</v>
      </c>
      <c r="D28" s="64" t="s">
        <v>733</v>
      </c>
      <c r="E28" s="64" t="s">
        <v>808</v>
      </c>
      <c r="F28" s="64" t="s">
        <v>809</v>
      </c>
      <c r="G28" s="65" t="s">
        <v>810</v>
      </c>
      <c r="H28" s="66" t="n">
        <v>46225</v>
      </c>
      <c r="I28" s="67" t="s">
        <v>873</v>
      </c>
      <c r="J28" s="64" t="s">
        <v>812</v>
      </c>
    </row>
    <row r="29" customFormat="false" ht="37.5" hidden="false" customHeight="true" outlineLevel="0" collapsed="false">
      <c r="A29" s="64" t="s">
        <v>874</v>
      </c>
      <c r="B29" s="64" t="s">
        <v>871</v>
      </c>
      <c r="C29" s="64" t="s">
        <v>875</v>
      </c>
      <c r="D29" s="64" t="s">
        <v>876</v>
      </c>
      <c r="E29" s="64" t="s">
        <v>808</v>
      </c>
      <c r="F29" s="64" t="s">
        <v>809</v>
      </c>
      <c r="G29" s="65" t="s">
        <v>810</v>
      </c>
      <c r="H29" s="66" t="n">
        <v>46225</v>
      </c>
      <c r="I29" s="64" t="s">
        <v>838</v>
      </c>
      <c r="J29" s="64" t="s">
        <v>812</v>
      </c>
    </row>
    <row r="30" customFormat="false" ht="37.5" hidden="false" customHeight="true" outlineLevel="0" collapsed="false">
      <c r="A30" s="64" t="s">
        <v>877</v>
      </c>
      <c r="B30" s="64" t="s">
        <v>878</v>
      </c>
      <c r="C30" s="64" t="s">
        <v>879</v>
      </c>
      <c r="D30" s="64" t="s">
        <v>880</v>
      </c>
      <c r="E30" s="64" t="s">
        <v>881</v>
      </c>
      <c r="F30" s="64" t="s">
        <v>881</v>
      </c>
      <c r="G30" s="65" t="s">
        <v>882</v>
      </c>
      <c r="H30" s="66" t="n">
        <v>46225</v>
      </c>
      <c r="I30" s="64" t="s">
        <v>838</v>
      </c>
      <c r="J30" s="64" t="s">
        <v>883</v>
      </c>
    </row>
    <row r="31" customFormat="false" ht="37.5" hidden="false" customHeight="true" outlineLevel="0" collapsed="false">
      <c r="A31" s="64" t="s">
        <v>884</v>
      </c>
      <c r="B31" s="64" t="s">
        <v>885</v>
      </c>
      <c r="C31" s="64" t="s">
        <v>886</v>
      </c>
      <c r="D31" s="64" t="s">
        <v>887</v>
      </c>
      <c r="E31" s="64" t="s">
        <v>888</v>
      </c>
      <c r="F31" s="64" t="s">
        <v>889</v>
      </c>
      <c r="G31" s="65" t="s">
        <v>740</v>
      </c>
      <c r="H31" s="66" t="n">
        <v>46225</v>
      </c>
      <c r="I31" s="64" t="s">
        <v>838</v>
      </c>
      <c r="J31" s="64" t="s">
        <v>890</v>
      </c>
    </row>
    <row r="32" customFormat="false" ht="37.5" hidden="false" customHeight="true" outlineLevel="0" collapsed="false">
      <c r="A32" s="64" t="s">
        <v>891</v>
      </c>
      <c r="B32" s="64" t="s">
        <v>885</v>
      </c>
      <c r="C32" s="64" t="s">
        <v>892</v>
      </c>
      <c r="D32" s="64" t="s">
        <v>887</v>
      </c>
      <c r="E32" s="64" t="s">
        <v>893</v>
      </c>
      <c r="F32" s="64" t="s">
        <v>894</v>
      </c>
      <c r="G32" s="65" t="s">
        <v>740</v>
      </c>
      <c r="H32" s="66" t="n">
        <v>46225</v>
      </c>
      <c r="I32" s="64" t="s">
        <v>838</v>
      </c>
      <c r="J32" s="64" t="s">
        <v>895</v>
      </c>
    </row>
    <row r="33" customFormat="false" ht="37.3" hidden="false" customHeight="false" outlineLevel="0" collapsed="false">
      <c r="A33" s="64" t="s">
        <v>896</v>
      </c>
      <c r="B33" s="64" t="s">
        <v>826</v>
      </c>
      <c r="C33" s="64" t="s">
        <v>897</v>
      </c>
      <c r="D33" s="64" t="s">
        <v>898</v>
      </c>
      <c r="E33" s="64" t="s">
        <v>808</v>
      </c>
      <c r="F33" s="64" t="s">
        <v>809</v>
      </c>
      <c r="G33" s="65" t="s">
        <v>899</v>
      </c>
      <c r="H33" s="66" t="n">
        <v>46234</v>
      </c>
      <c r="I33" s="64" t="s">
        <v>900</v>
      </c>
      <c r="J33" s="64" t="s">
        <v>901</v>
      </c>
    </row>
  </sheetData>
  <autoFilter ref="A9:J32"/>
  <mergeCells count="3">
    <mergeCell ref="A1:C1"/>
    <mergeCell ref="D1:G1"/>
    <mergeCell ref="H1:I1"/>
  </mergeCells>
  <hyperlinks>
    <hyperlink ref="I10" r:id="rId1" display="Открыть источник: arialstroy.ru"/>
    <hyperlink ref="I11" r:id="rId2" display="Открыть источник: www.merezh.ru"/>
    <hyperlink ref="I12" r:id="rId3" display="Открыть источник: roof.ru"/>
    <hyperlink ref="I13" r:id="rId4" display="Открыть источник: i-okna.ru"/>
    <hyperlink ref="I14" r:id="rId5" display="Открыть источник: 2fasad.ru"/>
    <hyperlink ref="I15" r:id="rId6" display="Открыть источник: beton50.com"/>
    <hyperlink ref="I16" r:id="rId7" display="Открыть источник: www.szmetal.ru"/>
    <hyperlink ref="I17" r:id="rId8" display="Открыть источник: technogrunt.ru"/>
    <hyperlink ref="I19" r:id="rId9" display="Локальный файл: файлы от клиента/2026-07-28/Прайс_ФиброТек_Про_СКГ_2026-07-28.webp"/>
    <hyperlink ref="I20" r:id="rId10" display="Открыть источник: u-brus.ru"/>
    <hyperlink ref="I22" r:id="rId11" display="Открыть источник: moscow.petrovich.ru"/>
    <hyperlink ref="I23" r:id="rId12" display="Открыть источник: www.braas.ru"/>
    <hyperlink ref="I24" r:id="rId13" display="Открыть источник: metallprofil.ru"/>
    <hyperlink ref="I25" r:id="rId14" display="Открыть источник: www.melke.ru"/>
    <hyperlink ref="I26" r:id="rId15" display="Открыть источник: mir-doors.ru"/>
    <hyperlink ref="I27" r:id="rId16" display="Открыть источник: volmatech.ru"/>
    <hyperlink ref="I28" r:id="rId17" display="Открыть источник: ooombeton.ru"/>
  </hyperlinks>
  <printOptions headings="false" gridLines="false" gridLinesSet="true" horizontalCentered="false" verticalCentered="false"/>
  <pageMargins left="0.2" right="0.2" top="0.35" bottom="0.35" header="0.511811023622047" footer="0.5"/>
  <pageSetup paperSize="9" scale="100" fitToWidth="3" fitToHeight="0" pageOrder="downThenOver" orientation="landscape" blackAndWhite="false" draft="false" cellComments="none" horizontalDpi="300" verticalDpi="300" copies="1"/>
  <headerFooter differentFirst="false" differentOddEven="false">
    <oddHeader/>
    <oddFooter>&amp;CЗаказ 8012 • рабочий расчет • без release&amp;RСтр. &amp;P из &amp;N</oddFooter>
  </headerFooter>
  <colBreaks count="2" manualBreakCount="2">
    <brk id="7" man="true" max="65535" min="0"/>
    <brk id="9" man="true" max="65535" min="0"/>
  </colBreaks>
  <drawing r:id="rId1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"/>
    <col collapsed="false" customWidth="true" hidden="false" outlineLevel="0" max="3" min="3" style="1" width="42"/>
    <col collapsed="false" customWidth="true" hidden="false" outlineLevel="0" max="4" min="4" style="1" width="48"/>
    <col collapsed="false" customWidth="true" hidden="false" outlineLevel="0" max="6" min="5" style="1" width="16"/>
    <col collapsed="false" customWidth="true" hidden="false" outlineLevel="0" max="7" min="7" style="1" width="11"/>
    <col collapsed="false" customWidth="true" hidden="false" outlineLevel="0" max="8" min="8" style="1" width="48"/>
  </cols>
  <sheetData>
    <row r="1" customFormat="false" ht="27.75" hidden="false" customHeight="true" outlineLevel="0" collapsed="false">
      <c r="A1" s="56" t="s">
        <v>902</v>
      </c>
      <c r="B1" s="56"/>
      <c r="C1" s="56"/>
      <c r="D1" s="56" t="s">
        <v>903</v>
      </c>
      <c r="E1" s="56"/>
      <c r="F1" s="56"/>
      <c r="G1" s="56"/>
      <c r="H1" s="57" t="s">
        <v>904</v>
      </c>
    </row>
    <row r="2" customFormat="false" ht="24" hidden="false" customHeight="true" outlineLevel="0" collapsed="false">
      <c r="A2" s="42" t="s">
        <v>905</v>
      </c>
      <c r="B2" s="42"/>
      <c r="C2" s="42"/>
      <c r="D2" s="42" t="s">
        <v>906</v>
      </c>
      <c r="E2" s="42"/>
      <c r="F2" s="42"/>
      <c r="G2" s="42"/>
      <c r="H2" s="68" t="s">
        <v>907</v>
      </c>
    </row>
    <row r="4" customFormat="false" ht="48" hidden="false" customHeight="true" outlineLevel="0" collapsed="false">
      <c r="A4" s="5" t="s">
        <v>797</v>
      </c>
      <c r="B4" s="5" t="s">
        <v>908</v>
      </c>
      <c r="C4" s="5" t="s">
        <v>909</v>
      </c>
      <c r="D4" s="5" t="s">
        <v>910</v>
      </c>
      <c r="E4" s="5" t="s">
        <v>911</v>
      </c>
      <c r="F4" s="5" t="s">
        <v>912</v>
      </c>
      <c r="G4" s="5" t="s">
        <v>50</v>
      </c>
      <c r="H4" s="5" t="s">
        <v>913</v>
      </c>
    </row>
    <row r="5" customFormat="false" ht="42" hidden="false" customHeight="true" outlineLevel="0" collapsed="false">
      <c r="A5" s="64" t="s">
        <v>914</v>
      </c>
      <c r="B5" s="64" t="s">
        <v>915</v>
      </c>
      <c r="C5" s="64" t="s">
        <v>916</v>
      </c>
      <c r="D5" s="64" t="s">
        <v>917</v>
      </c>
      <c r="E5" s="64" t="str">
        <f aca="false">"PASS"</f>
        <v>PASS</v>
      </c>
      <c r="F5" s="64" t="s">
        <v>918</v>
      </c>
      <c r="G5" s="59" t="str">
        <f aca="false">IF(E5=F5,"PASS","FAIL")</f>
        <v>PASS</v>
      </c>
      <c r="H5" s="64"/>
    </row>
    <row r="6" customFormat="false" ht="42" hidden="false" customHeight="true" outlineLevel="0" collapsed="false">
      <c r="A6" s="64" t="s">
        <v>919</v>
      </c>
      <c r="B6" s="64" t="s">
        <v>920</v>
      </c>
      <c r="C6" s="64" t="s">
        <v>921</v>
      </c>
      <c r="D6" s="64" t="s">
        <v>922</v>
      </c>
      <c r="E6" s="64" t="str">
        <f aca="false">IF(ABS(ROUND(SUMIFS(Смета!K7:K291,Смета!C7:C291,"&lt;&gt;")-SUMPRODUCT((Смета!C7:C291&lt;&gt;"")*ROUND(Смета!J7:J291*'Основания и цены'!$B$4,2)),2))&lt;=0.05,"PASS","FAIL")</f>
        <v>PASS</v>
      </c>
      <c r="F6" s="64" t="s">
        <v>918</v>
      </c>
      <c r="G6" s="59" t="str">
        <f aca="false">IF(E6=F6,"PASS","FAIL")</f>
        <v>PASS</v>
      </c>
      <c r="H6" s="64" t="s">
        <v>923</v>
      </c>
    </row>
    <row r="7" customFormat="false" ht="42" hidden="false" customHeight="true" outlineLevel="0" collapsed="false">
      <c r="A7" s="64" t="s">
        <v>924</v>
      </c>
      <c r="B7" s="64" t="s">
        <v>925</v>
      </c>
      <c r="C7" s="64" t="s">
        <v>926</v>
      </c>
      <c r="D7" s="64" t="s">
        <v>927</v>
      </c>
      <c r="E7" s="64" t="n">
        <f aca="false">SUM(Смета!H21,Смета!H22,Смета!H23)</f>
        <v>360</v>
      </c>
      <c r="F7" s="64" t="n">
        <v>360</v>
      </c>
      <c r="G7" s="59" t="str">
        <f aca="false">IF(E7=F7,"PASS","FAIL")</f>
        <v>PASS</v>
      </c>
      <c r="H7" s="64"/>
    </row>
    <row r="8" customFormat="false" ht="42" hidden="false" customHeight="true" outlineLevel="0" collapsed="false">
      <c r="A8" s="64" t="s">
        <v>928</v>
      </c>
      <c r="B8" s="64" t="s">
        <v>929</v>
      </c>
      <c r="C8" s="64" t="s">
        <v>930</v>
      </c>
      <c r="D8" s="64" t="s">
        <v>931</v>
      </c>
      <c r="E8" s="64" t="n">
        <f aca="false">SUM(Смета!H39:H41)</f>
        <v>8.5082</v>
      </c>
      <c r="F8" s="64" t="n">
        <v>8.5082</v>
      </c>
      <c r="G8" s="59" t="str">
        <f aca="false">IF(E8=F8,"PASS","FAIL")</f>
        <v>PASS</v>
      </c>
      <c r="H8" s="64" t="s">
        <v>932</v>
      </c>
    </row>
    <row r="9" customFormat="false" ht="42" hidden="false" customHeight="true" outlineLevel="0" collapsed="false">
      <c r="A9" s="64" t="s">
        <v>933</v>
      </c>
      <c r="B9" s="64" t="s">
        <v>929</v>
      </c>
      <c r="C9" s="64" t="s">
        <v>934</v>
      </c>
      <c r="D9" s="64" t="s">
        <v>935</v>
      </c>
      <c r="E9" s="64" t="str">
        <f aca="false">IF(AND(Смета!H42=101.7,Смета!S43="НЕ УЧТЕНО"),"PASS","FAIL")</f>
        <v>PASS</v>
      </c>
      <c r="F9" s="64" t="s">
        <v>918</v>
      </c>
      <c r="G9" s="59" t="str">
        <f aca="false">IF(E9=F9,"PASS","FAIL")</f>
        <v>PASS</v>
      </c>
      <c r="H9" s="64"/>
    </row>
    <row r="10" customFormat="false" ht="42" hidden="false" customHeight="true" outlineLevel="0" collapsed="false">
      <c r="A10" s="64" t="s">
        <v>936</v>
      </c>
      <c r="B10" s="64" t="s">
        <v>937</v>
      </c>
      <c r="C10" s="64" t="s">
        <v>938</v>
      </c>
      <c r="D10" s="64" t="s">
        <v>939</v>
      </c>
      <c r="E10" s="69" t="n">
        <f aca="false">Смета!H104</f>
        <v>4160</v>
      </c>
      <c r="F10" s="64" t="n">
        <v>4160</v>
      </c>
      <c r="G10" s="59" t="str">
        <f aca="false">IF(E10=F10,"PASS","FAIL")</f>
        <v>PASS</v>
      </c>
      <c r="H10" s="64" t="s">
        <v>940</v>
      </c>
    </row>
    <row r="11" customFormat="false" ht="42" hidden="false" customHeight="true" outlineLevel="0" collapsed="false">
      <c r="A11" s="64" t="s">
        <v>941</v>
      </c>
      <c r="B11" s="64" t="s">
        <v>942</v>
      </c>
      <c r="C11" s="64" t="s">
        <v>943</v>
      </c>
      <c r="D11" s="64" t="s">
        <v>944</v>
      </c>
      <c r="E11" s="69" t="n">
        <f aca="false">Смета!H223</f>
        <v>5015</v>
      </c>
      <c r="F11" s="64" t="n">
        <v>5015</v>
      </c>
      <c r="G11" s="59" t="str">
        <f aca="false">IF(E11=F11,"PASS","FAIL")</f>
        <v>PASS</v>
      </c>
      <c r="H11" s="64" t="s">
        <v>945</v>
      </c>
    </row>
    <row r="12" customFormat="false" ht="42" hidden="false" customHeight="true" outlineLevel="0" collapsed="false">
      <c r="A12" s="64" t="s">
        <v>946</v>
      </c>
      <c r="B12" s="64" t="s">
        <v>942</v>
      </c>
      <c r="C12" s="64" t="s">
        <v>947</v>
      </c>
      <c r="D12" s="64" t="s">
        <v>948</v>
      </c>
      <c r="E12" s="64" t="str">
        <f aca="false">IF(AND(Смета!H227=164,Смета!H228=54,COUNTIFS(Смета!A7:A291,3,Смета!B7:B291,"2",Смета!C7:C291,"2.33")=0,COUNTIFS(Смета!A7:A291,3,Смета!B7:B291,"2",Смета!D7:D291,"*Аэроэлемент*",Смета!H7:H291,94)=0),"PASS","FAIL")</f>
        <v>PASS</v>
      </c>
      <c r="F12" s="64" t="s">
        <v>918</v>
      </c>
      <c r="G12" s="59" t="str">
        <f aca="false">IF(E12=F12,"PASS","FAIL")</f>
        <v>PASS</v>
      </c>
      <c r="H12" s="64"/>
    </row>
    <row r="13" customFormat="false" ht="42" hidden="false" customHeight="true" outlineLevel="0" collapsed="false">
      <c r="A13" s="64" t="s">
        <v>949</v>
      </c>
      <c r="B13" s="64" t="s">
        <v>942</v>
      </c>
      <c r="C13" s="64" t="s">
        <v>950</v>
      </c>
      <c r="D13" s="64" t="s">
        <v>951</v>
      </c>
      <c r="E13" s="64" t="str">
        <f aca="false">IF(AND(Смета!H230=13,Смета!H236=20,Смета!H242=9,ISNUMBER(SEARCH("D125",Смета!D242))),"PASS","FAIL")</f>
        <v>PASS</v>
      </c>
      <c r="F13" s="64" t="s">
        <v>918</v>
      </c>
      <c r="G13" s="59" t="str">
        <f aca="false">IF(E13=F13,"PASS","FAIL")</f>
        <v>PASS</v>
      </c>
      <c r="H13" s="64" t="s">
        <v>952</v>
      </c>
    </row>
    <row r="14" customFormat="false" ht="42" hidden="false" customHeight="true" outlineLevel="0" collapsed="false">
      <c r="A14" s="64" t="s">
        <v>953</v>
      </c>
      <c r="B14" s="64" t="s">
        <v>920</v>
      </c>
      <c r="C14" s="64" t="s">
        <v>954</v>
      </c>
      <c r="D14" s="64" t="s">
        <v>955</v>
      </c>
      <c r="E14" s="69" t="n">
        <f aca="false">Смета!H101</f>
        <v>11</v>
      </c>
      <c r="F14" s="64" t="n">
        <v>11</v>
      </c>
      <c r="G14" s="59" t="str">
        <f aca="false">IF(E14=F14,"PASS","FAIL")</f>
        <v>PASS</v>
      </c>
      <c r="H14" s="64" t="s">
        <v>956</v>
      </c>
    </row>
    <row r="15" customFormat="false" ht="42" hidden="false" customHeight="true" outlineLevel="0" collapsed="false">
      <c r="A15" s="64" t="s">
        <v>957</v>
      </c>
      <c r="B15" s="64" t="s">
        <v>958</v>
      </c>
      <c r="C15" s="64" t="s">
        <v>959</v>
      </c>
      <c r="D15" s="64" t="s">
        <v>960</v>
      </c>
      <c r="E15" s="64" t="str">
        <f aca="false">IF(MIN(Смета!I24,Смета!I25,Смета!I26,Смета!I27,Смета!I37,Смета!I121,Смета!I137,Смета!I138,Смета!I139,Смета!I155,Смета!I174,Смета!I175,Смета!I176)&gt;0,"PASS","FAIL")</f>
        <v>PASS</v>
      </c>
      <c r="F15" s="64" t="s">
        <v>918</v>
      </c>
      <c r="G15" s="59" t="str">
        <f aca="false">IF(E15=F15,"PASS","FAIL")</f>
        <v>PASS</v>
      </c>
      <c r="H15" s="64" t="s">
        <v>961</v>
      </c>
    </row>
    <row r="16" customFormat="false" ht="42" hidden="false" customHeight="true" outlineLevel="0" collapsed="false">
      <c r="A16" s="64" t="s">
        <v>962</v>
      </c>
      <c r="B16" s="64" t="s">
        <v>920</v>
      </c>
      <c r="C16" s="64" t="s">
        <v>963</v>
      </c>
      <c r="D16" s="64" t="s">
        <v>964</v>
      </c>
      <c r="E16" s="64" t="str">
        <f aca="false">IF(AND(ISNUMBER(SEARCH("террас",Смета!D17)),ISNUMBER(SEARCH("крыльц",Смета!D18)),ISNUMBER(SEARCH("террас",Смета!D29)),ISNUMBER(SEARCH("крыльц",Смета!D30))),"PASS","FAIL")</f>
        <v>PASS</v>
      </c>
      <c r="F16" s="64" t="s">
        <v>918</v>
      </c>
      <c r="G16" s="59" t="str">
        <f aca="false">IF(E16=F16,"PASS","FAIL")</f>
        <v>PASS</v>
      </c>
      <c r="H16" s="64"/>
    </row>
    <row r="17" customFormat="false" ht="42" hidden="false" customHeight="true" outlineLevel="0" collapsed="false">
      <c r="A17" s="64" t="s">
        <v>965</v>
      </c>
      <c r="B17" s="64" t="s">
        <v>920</v>
      </c>
      <c r="C17" s="64" t="s">
        <v>966</v>
      </c>
      <c r="D17" s="64" t="s">
        <v>967</v>
      </c>
      <c r="E17" s="64" t="str">
        <f aca="false">IF(AND(Смета!N164&gt;0,Смета!L164=0),"PASS","FAIL")</f>
        <v>PASS</v>
      </c>
      <c r="F17" s="64" t="s">
        <v>918</v>
      </c>
      <c r="G17" s="59" t="str">
        <f aca="false">IF(E17=F17,"PASS","FAIL")</f>
        <v>PASS</v>
      </c>
      <c r="H17" s="64"/>
    </row>
    <row r="18" customFormat="false" ht="42" hidden="false" customHeight="true" outlineLevel="0" collapsed="false">
      <c r="A18" s="64" t="s">
        <v>968</v>
      </c>
      <c r="B18" s="64" t="s">
        <v>920</v>
      </c>
      <c r="C18" s="64" t="s">
        <v>969</v>
      </c>
      <c r="D18" s="64" t="s">
        <v>970</v>
      </c>
      <c r="E18" s="64" t="str">
        <f aca="false">"PARTIAL"</f>
        <v>PARTIAL</v>
      </c>
      <c r="F18" s="64" t="s">
        <v>971</v>
      </c>
      <c r="G18" s="59" t="str">
        <f aca="false">IF(E18=F18,"PASS","FAIL")</f>
        <v>PASS</v>
      </c>
      <c r="H18" s="64" t="s">
        <v>972</v>
      </c>
    </row>
  </sheetData>
  <autoFilter ref="A4:H18"/>
  <mergeCells count="4">
    <mergeCell ref="A1:C1"/>
    <mergeCell ref="D1:G1"/>
    <mergeCell ref="A2:C2"/>
    <mergeCell ref="D2:G2"/>
  </mergeCells>
  <conditionalFormatting sqref="G5:G18">
    <cfRule type="expression" priority="2" aboveAverage="0" equalAverage="0" bottom="0" percent="0" rank="0" text="" dxfId="6">
      <formula>$G5="PASS"</formula>
    </cfRule>
  </conditionalFormatting>
  <printOptions headings="false" gridLines="false" gridLinesSet="true" horizontalCentered="false" verticalCentered="false"/>
  <pageMargins left="0.2" right="0.2" top="0.35" bottom="0.35" header="0.511811023622047" footer="0.5"/>
  <pageSetup paperSize="9" scale="100" fitToWidth="2" fitToHeight="0" pageOrder="downThenOver" orientation="landscape" blackAndWhite="false" draft="false" cellComments="none" horizontalDpi="300" verticalDpi="300" copies="1"/>
  <headerFooter differentFirst="false" differentOddEven="false">
    <oddHeader/>
    <oddFooter>&amp;CЗаказ 8012 • рабочий расчет • без release&amp;RСтр. &amp;P из &amp;N</oddFooter>
  </headerFooter>
  <colBreaks count="1" manualBreakCount="1">
    <brk id="7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2026-07-22T02:04:16Z</dcterms:created>
  <dc:creator>Artem</dc:creator>
  <dc:description/>
  <cp:keywords>8012 смета прямые затраты</cp:keywords>
  <dc:language>en-US</dc:language>
  <cp:lastModifiedBy>Artem</cp:lastModifiedBy>
  <dcterms:modified xsi:type="dcterms:W3CDTF">2026-08-02T23:23:25Z</dcterms:modified>
  <cp:revision>1</cp:revision>
  <dc:subject>Смета по среднерыночным ставкам Москвы и Московской области</dc:subject>
  <dc:title>Смета 8012 — прямые затраты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